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drawings/drawing8.xml" ContentType="application/vnd.openxmlformats-officedocument.drawing+xml"/>
  <Override PartName="/xl/tables/table7.xml" ContentType="application/vnd.openxmlformats-officedocument.spreadsheetml.table+xml"/>
  <Override PartName="/xl/drawings/drawing9.xml" ContentType="application/vnd.openxmlformats-officedocument.drawing+xml"/>
  <Override PartName="/xl/tables/table8.xml" ContentType="application/vnd.openxmlformats-officedocument.spreadsheetml.table+xml"/>
  <Override PartName="/xl/drawings/drawing10.xml" ContentType="application/vnd.openxmlformats-officedocument.drawing+xml"/>
  <Override PartName="/xl/tables/table9.xml" ContentType="application/vnd.openxmlformats-officedocument.spreadsheetml.table+xml"/>
  <Override PartName="/xl/drawings/drawing11.xml" ContentType="application/vnd.openxmlformats-officedocument.drawing+xml"/>
  <Override PartName="/xl/tables/table10.xml" ContentType="application/vnd.openxmlformats-officedocument.spreadsheetml.table+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tables/table15.xml" ContentType="application/vnd.openxmlformats-officedocument.spreadsheetml.table+xml"/>
  <Override PartName="/xl/drawings/drawing17.xml" ContentType="application/vnd.openxmlformats-officedocument.drawing+xml"/>
  <Override PartName="/xl/tables/table16.xml" ContentType="application/vnd.openxmlformats-officedocument.spreadsheetml.table+xml"/>
  <Override PartName="/xl/drawings/drawing18.xml" ContentType="application/vnd.openxmlformats-officedocument.drawing+xml"/>
  <Override PartName="/xl/tables/table17.xml" ContentType="application/vnd.openxmlformats-officedocument.spreadsheetml.table+xml"/>
  <Override PartName="/xl/drawings/drawing19.xml" ContentType="application/vnd.openxmlformats-officedocument.drawing+xml"/>
  <Override PartName="/xl/tables/table18.xml" ContentType="application/vnd.openxmlformats-officedocument.spreadsheetml.table+xml"/>
  <Override PartName="/xl/drawings/drawing20.xml" ContentType="application/vnd.openxmlformats-officedocument.drawing+xml"/>
  <Override PartName="/xl/tables/table19.xml" ContentType="application/vnd.openxmlformats-officedocument.spreadsheetml.table+xml"/>
  <Override PartName="/xl/drawings/drawing21.xml" ContentType="application/vnd.openxmlformats-officedocument.drawing+xml"/>
  <Override PartName="/xl/tables/table20.xml" ContentType="application/vnd.openxmlformats-officedocument.spreadsheetml.table+xml"/>
  <Override PartName="/xl/tables/table2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kesteren.r\Desktop\"/>
    </mc:Choice>
  </mc:AlternateContent>
  <xr:revisionPtr revIDLastSave="0" documentId="13_ncr:1_{073F9367-83C1-4B22-AE19-2EAA7590B0BD}" xr6:coauthVersionLast="47" xr6:coauthVersionMax="47" xr10:uidLastSave="{00000000-0000-0000-0000-000000000000}"/>
  <workbookProtection workbookAlgorithmName="SHA-512" workbookHashValue="FpFgBIUEaM4prB0EfZO68/EnFuY+V1PE53J5qXi1ViQBa/zWJmb0//gN1m6rZzFWV27G2ZZfpn4TaZVxG7KcSw==" workbookSaltValue="MzrpODB+Aom33IFQLxX7Fw==" workbookSpinCount="100000" lockStructure="1"/>
  <bookViews>
    <workbookView xWindow="-27960" yWindow="525" windowWidth="27945" windowHeight="14955" tabRatio="869" firstSheet="1" activeTab="1" xr2:uid="{25B1903D-C331-49DC-892B-EF887FC99E63}"/>
  </bookViews>
  <sheets>
    <sheet name="BASE" sheetId="2" state="hidden" r:id="rId1"/>
    <sheet name="Voorbeeldsituaties" sheetId="1" r:id="rId2"/>
    <sheet name="§ 5.1" sheetId="11" r:id="rId3"/>
    <sheet name="§ 5.4" sheetId="7" r:id="rId4"/>
    <sheet name="§ 5.5" sheetId="10" r:id="rId5"/>
    <sheet name="§ 5.9" sheetId="19" r:id="rId6"/>
    <sheet name="§ 6.1 - IKV#1" sheetId="26" r:id="rId7"/>
    <sheet name="§ 6.1 - IKV#2" sheetId="28" r:id="rId8"/>
    <sheet name="§ 6.4" sheetId="18" r:id="rId9"/>
    <sheet name="§ 7.4a" sheetId="21" r:id="rId10"/>
    <sheet name="§ 7.4b" sheetId="22" r:id="rId11"/>
    <sheet name="§ 7.8a" sheetId="23" r:id="rId12"/>
    <sheet name="§ 7.8b" sheetId="24" r:id="rId13"/>
    <sheet name="§ 7.8c" sheetId="25" r:id="rId14"/>
    <sheet name="H 10a" sheetId="14" r:id="rId15"/>
    <sheet name="H 10b" sheetId="15" r:id="rId16"/>
    <sheet name="H 10c" sheetId="16" r:id="rId17"/>
    <sheet name="H 10d" sheetId="17" r:id="rId18"/>
    <sheet name="§ 11.2a" sheetId="12" r:id="rId19"/>
    <sheet name="§ 11.2b" sheetId="13" r:id="rId20"/>
    <sheet name="§ 11.4" sheetId="27" r:id="rId21"/>
    <sheet name="rekenwaarden" sheetId="4" state="hidden" r:id="rId22"/>
  </sheets>
  <definedNames>
    <definedName name="Bruto_loon">#REF!</definedName>
    <definedName name="Code_Aard_Arbeidsverhouding">rekenwaarden!$AD$3:$AD$16</definedName>
    <definedName name="Code_Reden_Einde_Arbeidsverhouding">rekenwaarden!$AE$3:$AE$21</definedName>
    <definedName name="Code_Soort_IKV">rekenwaarden!$AC$3:$AC$34</definedName>
    <definedName name="Datum_Aanvang_IKV" localSheetId="18">'§ 11.2a'!$B$4</definedName>
    <definedName name="Datum_Aanvang_IKV" localSheetId="19">'§ 11.2b'!$B$4</definedName>
    <definedName name="Datum_Aanvang_IKV" localSheetId="20">'§ 11.4'!$B$4</definedName>
    <definedName name="Datum_Aanvang_IKV" localSheetId="2">'§ 5.1'!$B$4</definedName>
    <definedName name="Datum_Aanvang_IKV" localSheetId="3">'§ 5.4'!$B$4</definedName>
    <definedName name="Datum_Aanvang_IKV" localSheetId="4">'§ 5.5'!$B$4</definedName>
    <definedName name="Datum_Aanvang_IKV" localSheetId="5">'§ 5.9'!$B$4</definedName>
    <definedName name="Datum_Aanvang_IKV" localSheetId="6">'§ 6.1 - IKV#1'!$B$4</definedName>
    <definedName name="Datum_Aanvang_IKV" localSheetId="7">'§ 6.1 - IKV#2'!$B$4</definedName>
    <definedName name="Datum_Aanvang_IKV" localSheetId="8">'§ 6.4'!$B$4</definedName>
    <definedName name="Datum_Aanvang_IKV" localSheetId="9">'§ 7.4a'!$B$4</definedName>
    <definedName name="Datum_Aanvang_IKV" localSheetId="10">'§ 7.4b'!$B$4</definedName>
    <definedName name="Datum_Aanvang_IKV" localSheetId="11">'§ 7.8a'!$B$4</definedName>
    <definedName name="Datum_Aanvang_IKV" localSheetId="12">'§ 7.8b'!$B$4</definedName>
    <definedName name="Datum_Aanvang_IKV" localSheetId="13">'§ 7.8c'!$B$4</definedName>
    <definedName name="Datum_Aanvang_IKV" localSheetId="14">'H 10a'!$B$4</definedName>
    <definedName name="Datum_Aanvang_IKV" localSheetId="15">'H 10b'!$B$4</definedName>
    <definedName name="Datum_Aanvang_IKV" localSheetId="16">'H 10c'!$B$4</definedName>
    <definedName name="Datum_Aanvang_IKV" localSheetId="17">'H 10d'!$B$4</definedName>
    <definedName name="Datum_Aanvang_IKV">BASE!$B$4</definedName>
    <definedName name="Datum_Einde_IKV" localSheetId="18">'§ 11.2a'!$B$5</definedName>
    <definedName name="Datum_Einde_IKV" localSheetId="19">'§ 11.2b'!$B$5</definedName>
    <definedName name="Datum_Einde_IKV" localSheetId="20">'§ 11.4'!$B$5</definedName>
    <definedName name="Datum_Einde_IKV" localSheetId="2">'§ 5.1'!$B$5</definedName>
    <definedName name="Datum_Einde_IKV" localSheetId="3">'§ 5.4'!$B$5</definedName>
    <definedName name="Datum_Einde_IKV" localSheetId="4">'§ 5.5'!$B$5</definedName>
    <definedName name="Datum_Einde_IKV" localSheetId="5">'§ 5.9'!$B$5</definedName>
    <definedName name="Datum_Einde_IKV" localSheetId="6">'§ 6.1 - IKV#1'!$B$5</definedName>
    <definedName name="Datum_Einde_IKV" localSheetId="7">'§ 6.1 - IKV#2'!$B$5</definedName>
    <definedName name="Datum_Einde_IKV" localSheetId="8">'§ 6.4'!$B$5</definedName>
    <definedName name="Datum_Einde_IKV" localSheetId="9">'§ 7.4a'!$B$5</definedName>
    <definedName name="Datum_Einde_IKV" localSheetId="10">'§ 7.4b'!$B$5</definedName>
    <definedName name="Datum_Einde_IKV" localSheetId="11">'§ 7.8a'!$B$5</definedName>
    <definedName name="Datum_Einde_IKV" localSheetId="12">'§ 7.8b'!$B$5</definedName>
    <definedName name="Datum_Einde_IKV" localSheetId="13">'§ 7.8c'!$B$5</definedName>
    <definedName name="Datum_Einde_IKV" localSheetId="14">'H 10a'!$B$5</definedName>
    <definedName name="Datum_Einde_IKV" localSheetId="15">'H 10b'!$B$5</definedName>
    <definedName name="Datum_Einde_IKV" localSheetId="16">'H 10c'!$B$5</definedName>
    <definedName name="Datum_Einde_IKV" localSheetId="17">'H 10d'!$B$5</definedName>
    <definedName name="Datum_Einde_IKV">BASE!$B$5</definedName>
    <definedName name="franchise">rekenwaarden!$M$3:$M$4</definedName>
    <definedName name="Geboortedatum" localSheetId="18">'§ 11.2a'!$B$3</definedName>
    <definedName name="Geboortedatum" localSheetId="19">'§ 11.2b'!$B$3</definedName>
    <definedName name="Geboortedatum" localSheetId="20">'§ 11.4'!$B$3</definedName>
    <definedName name="Geboortedatum" localSheetId="2">'§ 5.1'!$B$3</definedName>
    <definedName name="Geboortedatum" localSheetId="3">'§ 5.4'!$B$3</definedName>
    <definedName name="Geboortedatum" localSheetId="4">'§ 5.5'!$B$3</definedName>
    <definedName name="Geboortedatum" localSheetId="5">'§ 5.9'!$B$3</definedName>
    <definedName name="Geboortedatum" localSheetId="6">'§ 6.1 - IKV#1'!$B$3</definedName>
    <definedName name="Geboortedatum" localSheetId="7">'§ 6.1 - IKV#2'!$B$3</definedName>
    <definedName name="Geboortedatum" localSheetId="8">'§ 6.4'!$B$3</definedName>
    <definedName name="Geboortedatum" localSheetId="9">'§ 7.4a'!$B$3</definedName>
    <definedName name="Geboortedatum" localSheetId="10">'§ 7.4b'!$B$3</definedName>
    <definedName name="Geboortedatum" localSheetId="11">'§ 7.8a'!$B$3</definedName>
    <definedName name="Geboortedatum" localSheetId="12">'§ 7.8b'!$B$3</definedName>
    <definedName name="Geboortedatum" localSheetId="13">'§ 7.8c'!$B$3</definedName>
    <definedName name="Geboortedatum" localSheetId="14">'H 10a'!$B$3</definedName>
    <definedName name="Geboortedatum" localSheetId="15">'H 10b'!$B$3</definedName>
    <definedName name="Geboortedatum" localSheetId="16">'H 10c'!$B$3</definedName>
    <definedName name="Geboortedatum" localSheetId="17">'H 10d'!$B$3</definedName>
    <definedName name="Geboortedatum">BASE!$B$3</definedName>
    <definedName name="jaar">rekenwaarden!$L$3:$L$4</definedName>
    <definedName name="max_loon">rekenwaarden!$N$3:$N$4</definedName>
    <definedName name="max_loon_exc">rekenwaarden!$O$3:$O$4</definedName>
    <definedName name="Normuren_per_week" localSheetId="18">'§ 11.2a'!$B$7</definedName>
    <definedName name="Normuren_per_week" localSheetId="19">'§ 11.2b'!$B$7</definedName>
    <definedName name="Normuren_per_week" localSheetId="20">'§ 11.4'!$B$7</definedName>
    <definedName name="Normuren_per_week" localSheetId="2">'§ 5.1'!$B$7</definedName>
    <definedName name="Normuren_per_week" localSheetId="3">'§ 5.4'!$B$7</definedName>
    <definedName name="Normuren_per_week" localSheetId="4">'§ 5.5'!$B$7</definedName>
    <definedName name="Normuren_per_week" localSheetId="5">'§ 5.9'!$B$7</definedName>
    <definedName name="Normuren_per_week" localSheetId="6">'§ 6.1 - IKV#1'!$B$7</definedName>
    <definedName name="Normuren_per_week" localSheetId="7">'§ 6.1 - IKV#2'!$B$7</definedName>
    <definedName name="Normuren_per_week" localSheetId="8">'§ 6.4'!$B$7</definedName>
    <definedName name="Normuren_per_week" localSheetId="9">'§ 7.4a'!$B$7</definedName>
    <definedName name="Normuren_per_week" localSheetId="10">'§ 7.4b'!$B$7</definedName>
    <definedName name="Normuren_per_week" localSheetId="11">'§ 7.8a'!$B$7</definedName>
    <definedName name="Normuren_per_week" localSheetId="12">'§ 7.8b'!$B$7</definedName>
    <definedName name="Normuren_per_week" localSheetId="13">'§ 7.8c'!$B$7</definedName>
    <definedName name="Normuren_per_week" localSheetId="14">'H 10a'!$B$7</definedName>
    <definedName name="Normuren_per_week" localSheetId="15">'H 10b'!$B$7</definedName>
    <definedName name="Normuren_per_week" localSheetId="16">'H 10c'!$B$7</definedName>
    <definedName name="Normuren_per_week" localSheetId="17">'H 10d'!$B$7</definedName>
    <definedName name="Normuren_per_week">BASE!$B$7</definedName>
    <definedName name="Pensioenpremiepercentage">#REF!</definedName>
    <definedName name="Periode_Franchise">#REF!</definedName>
    <definedName name="premiepct2027">rekenwaarden!$P$3</definedName>
    <definedName name="premiepct2028">rekenwaarden!$P$4</definedName>
    <definedName name="Rekenwaarden_tabel">rekenwaarden!$L$3:$P$4</definedName>
    <definedName name="SOOB_premiepercentage">#REF!</definedName>
    <definedName name="Uurfranchise_Pensioenregeling">#REF!</definedName>
    <definedName name="verloning" localSheetId="18">'§ 11.2a'!$B$5</definedName>
    <definedName name="verloning" localSheetId="19">'§ 11.2b'!$B$5</definedName>
    <definedName name="verloning" localSheetId="20">'§ 11.4'!$B$5</definedName>
    <definedName name="verloning" localSheetId="2">'§ 5.1'!$B$5</definedName>
    <definedName name="verloning" localSheetId="3">'§ 5.4'!$B$5</definedName>
    <definedName name="verloning" localSheetId="4">'§ 5.5'!$B$5</definedName>
    <definedName name="verloning" localSheetId="5">'§ 5.9'!$B$5</definedName>
    <definedName name="verloning" localSheetId="6">'§ 6.1 - IKV#1'!$B$5</definedName>
    <definedName name="verloning" localSheetId="7">'§ 6.1 - IKV#2'!$B$5</definedName>
    <definedName name="verloning" localSheetId="8">'§ 6.4'!$B$5</definedName>
    <definedName name="verloning" localSheetId="9">'§ 7.4a'!$B$5</definedName>
    <definedName name="verloning" localSheetId="10">'§ 7.4b'!$B$5</definedName>
    <definedName name="verloning" localSheetId="11">'§ 7.8a'!$B$5</definedName>
    <definedName name="verloning" localSheetId="12">'§ 7.8b'!$B$5</definedName>
    <definedName name="verloning" localSheetId="13">'§ 7.8c'!$B$5</definedName>
    <definedName name="verloning" localSheetId="14">'H 10a'!$B$5</definedName>
    <definedName name="verloning" localSheetId="15">'H 10b'!$B$5</definedName>
    <definedName name="verloning" localSheetId="16">'H 10c'!$B$5</definedName>
    <definedName name="verloning" localSheetId="17">'H 10d'!$B$5</definedName>
    <definedName name="verloning">BASE!$B$5</definedName>
    <definedName name="Verloningsperiodiciteit" localSheetId="18">'§ 11.2a'!$B$2</definedName>
    <definedName name="Verloningsperiodiciteit" localSheetId="19">'§ 11.2b'!$B$2</definedName>
    <definedName name="Verloningsperiodiciteit" localSheetId="20">'§ 11.4'!$B$2</definedName>
    <definedName name="Verloningsperiodiciteit" localSheetId="2">'§ 5.1'!$B$2</definedName>
    <definedName name="Verloningsperiodiciteit" localSheetId="3">'§ 5.4'!$B$2</definedName>
    <definedName name="Verloningsperiodiciteit" localSheetId="4">'§ 5.5'!$B$2</definedName>
    <definedName name="Verloningsperiodiciteit" localSheetId="5">'§ 5.9'!$B$2</definedName>
    <definedName name="Verloningsperiodiciteit" localSheetId="6">'§ 6.1 - IKV#1'!$B$2</definedName>
    <definedName name="Verloningsperiodiciteit" localSheetId="7">'§ 6.1 - IKV#2'!$B$2</definedName>
    <definedName name="Verloningsperiodiciteit" localSheetId="8">'§ 6.4'!$B$2</definedName>
    <definedName name="Verloningsperiodiciteit" localSheetId="9">'§ 7.4a'!$B$2</definedName>
    <definedName name="Verloningsperiodiciteit" localSheetId="10">'§ 7.4b'!$B$2</definedName>
    <definedName name="Verloningsperiodiciteit" localSheetId="11">'§ 7.8a'!$B$2</definedName>
    <definedName name="Verloningsperiodiciteit" localSheetId="12">'§ 7.8b'!$B$2</definedName>
    <definedName name="Verloningsperiodiciteit" localSheetId="13">'§ 7.8c'!$B$2</definedName>
    <definedName name="Verloningsperiodiciteit" localSheetId="14">'H 10a'!$B$2</definedName>
    <definedName name="Verloningsperiodiciteit" localSheetId="15">'H 10b'!$B$2</definedName>
    <definedName name="Verloningsperiodiciteit" localSheetId="16">'H 10c'!$B$2</definedName>
    <definedName name="Verloningsperiodiciteit" localSheetId="17">'H 10d'!$B$2</definedName>
    <definedName name="Verloningsperiodiciteit">BASE!$B$2</definedName>
    <definedName name="Verloonde_uren_in_Aangif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 i="28" l="1"/>
  <c r="D18" i="28" s="1"/>
  <c r="B7" i="28"/>
  <c r="O8" i="7"/>
  <c r="N8" i="7"/>
  <c r="B7" i="27"/>
  <c r="D2" i="27"/>
  <c r="P6" i="26"/>
  <c r="B7" i="26"/>
  <c r="D2" i="26"/>
  <c r="D18" i="26" s="1"/>
  <c r="O13" i="25"/>
  <c r="O12" i="25"/>
  <c r="Q12" i="25" s="1"/>
  <c r="O11" i="25"/>
  <c r="Q11" i="25" s="1"/>
  <c r="N13" i="25"/>
  <c r="N12" i="25"/>
  <c r="N11" i="25"/>
  <c r="T10" i="25"/>
  <c r="T9" i="25"/>
  <c r="T8" i="25"/>
  <c r="T7" i="25"/>
  <c r="T6" i="25"/>
  <c r="T5" i="25"/>
  <c r="T4" i="25"/>
  <c r="T3" i="25"/>
  <c r="T2" i="25"/>
  <c r="O2" i="25"/>
  <c r="Q2" i="25" s="1"/>
  <c r="O3" i="25"/>
  <c r="Q3" i="25" s="1"/>
  <c r="O4" i="25"/>
  <c r="Q4" i="25" s="1"/>
  <c r="O5" i="25"/>
  <c r="Q5" i="25" s="1"/>
  <c r="O6" i="25"/>
  <c r="Q6" i="25" s="1"/>
  <c r="O7" i="25"/>
  <c r="Q7" i="25" s="1"/>
  <c r="O8" i="25"/>
  <c r="Q8" i="25" s="1"/>
  <c r="O9" i="25"/>
  <c r="Q9" i="25" s="1"/>
  <c r="O10" i="25"/>
  <c r="Q10" i="25" s="1"/>
  <c r="Q13" i="25"/>
  <c r="B7" i="25"/>
  <c r="D2" i="25"/>
  <c r="D18" i="25" s="1"/>
  <c r="T4" i="24"/>
  <c r="T3" i="24"/>
  <c r="T2" i="24"/>
  <c r="T4" i="23"/>
  <c r="O4" i="23"/>
  <c r="O4" i="24"/>
  <c r="O3" i="24"/>
  <c r="O2" i="24"/>
  <c r="B7" i="24"/>
  <c r="D2" i="24"/>
  <c r="D18" i="24" s="1"/>
  <c r="T3" i="23"/>
  <c r="T2" i="23"/>
  <c r="O3" i="23"/>
  <c r="O2" i="23"/>
  <c r="N3" i="23"/>
  <c r="N2" i="23"/>
  <c r="B7" i="23"/>
  <c r="D2" i="23"/>
  <c r="D18" i="23" s="1"/>
  <c r="O8" i="22"/>
  <c r="O2" i="22"/>
  <c r="N9" i="22"/>
  <c r="N8" i="22"/>
  <c r="B7" i="22"/>
  <c r="D2" i="22"/>
  <c r="D18" i="22" s="1"/>
  <c r="O8" i="21"/>
  <c r="N9" i="21"/>
  <c r="N8" i="21"/>
  <c r="B7" i="21"/>
  <c r="D2" i="21"/>
  <c r="D18" i="21" s="1"/>
  <c r="B7" i="19"/>
  <c r="D2" i="19"/>
  <c r="D18" i="19" s="1"/>
  <c r="R9" i="18"/>
  <c r="P9" i="18"/>
  <c r="B7" i="18"/>
  <c r="D2" i="18"/>
  <c r="D18" i="18" s="1"/>
  <c r="B7" i="17"/>
  <c r="D2" i="17"/>
  <c r="D18" i="17" s="1"/>
  <c r="B7" i="16"/>
  <c r="D2" i="16"/>
  <c r="D18" i="16" s="1"/>
  <c r="B7" i="15"/>
  <c r="D2" i="15"/>
  <c r="D18" i="15" s="1"/>
  <c r="D2" i="14"/>
  <c r="D18" i="14" s="1"/>
  <c r="B7" i="14"/>
  <c r="A16" i="4"/>
  <c r="G15" i="4" s="1"/>
  <c r="G3" i="4"/>
  <c r="I3" i="4" s="1"/>
  <c r="J3" i="4" s="1"/>
  <c r="I4" i="4" s="1"/>
  <c r="J4" i="4" s="1"/>
  <c r="I5" i="4" s="1"/>
  <c r="J5" i="4" s="1"/>
  <c r="I6" i="4" s="1"/>
  <c r="J6" i="4" s="1"/>
  <c r="I7" i="4" s="1"/>
  <c r="J7" i="4" s="1"/>
  <c r="I8" i="4" s="1"/>
  <c r="J8" i="4" s="1"/>
  <c r="I9" i="4" s="1"/>
  <c r="J9" i="4" s="1"/>
  <c r="I10" i="4" s="1"/>
  <c r="J10" i="4" s="1"/>
  <c r="I11" i="4" s="1"/>
  <c r="J11" i="4" s="1"/>
  <c r="I12" i="4" s="1"/>
  <c r="J12" i="4" s="1"/>
  <c r="I13" i="4" s="1"/>
  <c r="J13" i="4" s="1"/>
  <c r="I14" i="4" s="1"/>
  <c r="J14" i="4" s="1"/>
  <c r="D2" i="13"/>
  <c r="D18" i="13" s="1"/>
  <c r="B7" i="13"/>
  <c r="D2" i="12"/>
  <c r="D18" i="12" s="1"/>
  <c r="B7" i="12"/>
  <c r="D2" i="11"/>
  <c r="D18" i="11" s="1"/>
  <c r="B7" i="11"/>
  <c r="D2" i="10"/>
  <c r="D18" i="10" s="1"/>
  <c r="B7" i="10"/>
  <c r="D2" i="7"/>
  <c r="D18" i="7" s="1"/>
  <c r="B7" i="7"/>
  <c r="G4" i="4"/>
  <c r="G5" i="4"/>
  <c r="G6" i="4"/>
  <c r="G7" i="4"/>
  <c r="G8" i="4"/>
  <c r="G9" i="4"/>
  <c r="G10" i="4"/>
  <c r="G11" i="4"/>
  <c r="G12" i="4"/>
  <c r="G13" i="4"/>
  <c r="G14" i="4"/>
  <c r="A17" i="4"/>
  <c r="G16" i="4" s="1"/>
  <c r="A18" i="4"/>
  <c r="G17" i="4" s="1"/>
  <c r="A19" i="4"/>
  <c r="G18" i="4" s="1"/>
  <c r="A20" i="4"/>
  <c r="G19" i="4" s="1"/>
  <c r="A21" i="4"/>
  <c r="G20" i="4" s="1"/>
  <c r="A22" i="4"/>
  <c r="G21" i="4" s="1"/>
  <c r="A23" i="4"/>
  <c r="G22" i="4" s="1"/>
  <c r="A24" i="4"/>
  <c r="G23" i="4" s="1"/>
  <c r="A25" i="4"/>
  <c r="G24" i="4" s="1"/>
  <c r="A26" i="4"/>
  <c r="G25" i="4" s="1"/>
  <c r="A27" i="4"/>
  <c r="G26" i="4" s="1"/>
  <c r="A28" i="4"/>
  <c r="H19" i="2"/>
  <c r="H20" i="2"/>
  <c r="H21" i="2"/>
  <c r="H22" i="2"/>
  <c r="H23" i="2"/>
  <c r="H24" i="2"/>
  <c r="H25" i="2"/>
  <c r="H26" i="2"/>
  <c r="H27" i="2"/>
  <c r="H28" i="2"/>
  <c r="H29" i="2"/>
  <c r="H30" i="2"/>
  <c r="H18" i="2"/>
  <c r="D2" i="2"/>
  <c r="D18" i="2" s="1"/>
  <c r="B7" i="2"/>
  <c r="E2" i="2"/>
  <c r="E3" i="2" s="1"/>
  <c r="E19" i="2" s="1"/>
  <c r="J19" i="2" s="1"/>
  <c r="G91" i="4"/>
  <c r="S12" i="4"/>
  <c r="S11" i="4"/>
  <c r="S10" i="4"/>
  <c r="S9" i="4"/>
  <c r="S8" i="4"/>
  <c r="P4" i="4"/>
  <c r="O4" i="4"/>
  <c r="N4" i="4"/>
  <c r="M4" i="4"/>
  <c r="C3" i="4"/>
  <c r="C4" i="4" s="1"/>
  <c r="P14" i="25" l="1"/>
  <c r="D18" i="27"/>
  <c r="C16" i="4"/>
  <c r="D15" i="4" s="1"/>
  <c r="L3" i="4"/>
  <c r="A29" i="4"/>
  <c r="C29" i="4" s="1"/>
  <c r="D3" i="4"/>
  <c r="C5" i="4"/>
  <c r="D4" i="4" s="1"/>
  <c r="L4" i="4"/>
  <c r="I15" i="4"/>
  <c r="J15" i="4" s="1"/>
  <c r="I16" i="4" s="1"/>
  <c r="J16" i="4" s="1"/>
  <c r="I17" i="4" s="1"/>
  <c r="J17" i="4" s="1"/>
  <c r="I18" i="4" s="1"/>
  <c r="J18" i="4" s="1"/>
  <c r="I19" i="4" s="1"/>
  <c r="J19" i="4" s="1"/>
  <c r="I20" i="4" s="1"/>
  <c r="J20" i="4" s="1"/>
  <c r="I21" i="4" s="1"/>
  <c r="J21" i="4" s="1"/>
  <c r="I22" i="4" s="1"/>
  <c r="J22" i="4" s="1"/>
  <c r="I23" i="4" s="1"/>
  <c r="J23" i="4" s="1"/>
  <c r="I24" i="4" s="1"/>
  <c r="J24" i="4" s="1"/>
  <c r="I25" i="4" s="1"/>
  <c r="J25" i="4" s="1"/>
  <c r="I26" i="4" s="1"/>
  <c r="F2" i="28" s="1"/>
  <c r="E2" i="28" s="1"/>
  <c r="I2" i="28" s="1"/>
  <c r="I2" i="2"/>
  <c r="J2" i="2"/>
  <c r="I3" i="2"/>
  <c r="E4" i="2"/>
  <c r="J3" i="2"/>
  <c r="C17" i="4"/>
  <c r="E18" i="2"/>
  <c r="J18" i="2" s="1"/>
  <c r="E18" i="28" l="1"/>
  <c r="L18" i="28" s="1"/>
  <c r="X2" i="28"/>
  <c r="Y2" i="28"/>
  <c r="F18" i="28"/>
  <c r="G2" i="28"/>
  <c r="J2" i="28" s="1"/>
  <c r="D28" i="4"/>
  <c r="F2" i="22"/>
  <c r="F2" i="27"/>
  <c r="F2" i="21"/>
  <c r="F2" i="23"/>
  <c r="F2" i="26"/>
  <c r="F2" i="24"/>
  <c r="C6" i="4"/>
  <c r="D5" i="4" s="1"/>
  <c r="F2" i="16"/>
  <c r="F18" i="16" s="1"/>
  <c r="F2" i="19"/>
  <c r="F2" i="18"/>
  <c r="F2" i="17"/>
  <c r="F2" i="14"/>
  <c r="G2" i="14" s="1"/>
  <c r="F2" i="15"/>
  <c r="F2" i="11"/>
  <c r="G2" i="11" s="1"/>
  <c r="G18" i="11" s="1"/>
  <c r="F2" i="12"/>
  <c r="G2" i="12" s="1"/>
  <c r="J26" i="4"/>
  <c r="F2" i="10"/>
  <c r="F2" i="7"/>
  <c r="C18" i="4"/>
  <c r="D16" i="4"/>
  <c r="E20" i="2"/>
  <c r="J20" i="2" s="1"/>
  <c r="I4" i="2"/>
  <c r="E5" i="2"/>
  <c r="J4" i="2"/>
  <c r="G18" i="28" l="1"/>
  <c r="N18" i="28" s="1"/>
  <c r="H2" i="28"/>
  <c r="W2" i="28" s="1"/>
  <c r="H18" i="28" s="1"/>
  <c r="D3" i="28"/>
  <c r="F3" i="28" s="1"/>
  <c r="E3" i="28" s="1"/>
  <c r="E2" i="24"/>
  <c r="G2" i="24"/>
  <c r="F18" i="24"/>
  <c r="G2" i="21"/>
  <c r="E2" i="21"/>
  <c r="F18" i="21"/>
  <c r="G2" i="26"/>
  <c r="F18" i="26"/>
  <c r="E2" i="26"/>
  <c r="G2" i="23"/>
  <c r="F18" i="23"/>
  <c r="E2" i="23"/>
  <c r="F18" i="22"/>
  <c r="G2" i="22"/>
  <c r="E2" i="22"/>
  <c r="G2" i="27"/>
  <c r="F18" i="27"/>
  <c r="E2" i="27"/>
  <c r="C7" i="4"/>
  <c r="C8" i="4" s="1"/>
  <c r="G2" i="16"/>
  <c r="G18" i="16" s="1"/>
  <c r="M18" i="16" s="1"/>
  <c r="E2" i="17"/>
  <c r="F18" i="17"/>
  <c r="G2" i="17"/>
  <c r="F18" i="18"/>
  <c r="E2" i="18"/>
  <c r="G2" i="18"/>
  <c r="F18" i="19"/>
  <c r="E2" i="19"/>
  <c r="G2" i="19"/>
  <c r="E2" i="16"/>
  <c r="J2" i="16" s="1"/>
  <c r="F18" i="14"/>
  <c r="E2" i="14"/>
  <c r="E18" i="14" s="1"/>
  <c r="E2" i="11"/>
  <c r="X2" i="11" s="1"/>
  <c r="G2" i="15"/>
  <c r="F18" i="15"/>
  <c r="E2" i="15"/>
  <c r="F18" i="12"/>
  <c r="E2" i="12"/>
  <c r="Y2" i="12" s="1"/>
  <c r="D3" i="11"/>
  <c r="D19" i="11" s="1"/>
  <c r="F18" i="11"/>
  <c r="M18" i="11" s="1"/>
  <c r="F18" i="10"/>
  <c r="G2" i="10"/>
  <c r="E2" i="10"/>
  <c r="E2" i="7"/>
  <c r="F18" i="7"/>
  <c r="G2" i="7"/>
  <c r="D3" i="12"/>
  <c r="D19" i="12" s="1"/>
  <c r="G18" i="12"/>
  <c r="G18" i="14"/>
  <c r="D3" i="14"/>
  <c r="D19" i="14" s="1"/>
  <c r="D17" i="4"/>
  <c r="C19" i="4"/>
  <c r="E21" i="2"/>
  <c r="J21" i="2" s="1"/>
  <c r="J5" i="2"/>
  <c r="I5" i="2"/>
  <c r="E6" i="2"/>
  <c r="M18" i="28" l="1"/>
  <c r="V2" i="28"/>
  <c r="I18" i="28" s="1"/>
  <c r="D19" i="28"/>
  <c r="G3" i="28"/>
  <c r="H3" i="28" s="1"/>
  <c r="I3" i="28"/>
  <c r="F19" i="28"/>
  <c r="W18" i="28"/>
  <c r="O18" i="28"/>
  <c r="P18" i="28" s="1"/>
  <c r="D6" i="4"/>
  <c r="Y2" i="21"/>
  <c r="H2" i="21"/>
  <c r="E18" i="21"/>
  <c r="L18" i="21" s="1"/>
  <c r="I2" i="21"/>
  <c r="J2" i="21"/>
  <c r="X2" i="21"/>
  <c r="J2" i="27"/>
  <c r="Y2" i="27"/>
  <c r="I2" i="27"/>
  <c r="X2" i="27"/>
  <c r="E18" i="27"/>
  <c r="L18" i="27" s="1"/>
  <c r="H2" i="27"/>
  <c r="W2" i="27" s="1"/>
  <c r="D3" i="27"/>
  <c r="D19" i="27" s="1"/>
  <c r="G18" i="27"/>
  <c r="G18" i="21"/>
  <c r="M18" i="21" s="1"/>
  <c r="D3" i="21"/>
  <c r="D19" i="21" s="1"/>
  <c r="J2" i="23"/>
  <c r="I2" i="23"/>
  <c r="X2" i="23"/>
  <c r="H2" i="23"/>
  <c r="V2" i="23" s="1"/>
  <c r="E18" i="23"/>
  <c r="L18" i="23" s="1"/>
  <c r="Y2" i="23"/>
  <c r="D3" i="23"/>
  <c r="D19" i="23" s="1"/>
  <c r="G18" i="23"/>
  <c r="Y2" i="26"/>
  <c r="I2" i="26"/>
  <c r="E18" i="26"/>
  <c r="L18" i="26" s="1"/>
  <c r="H2" i="26"/>
  <c r="W2" i="26" s="1"/>
  <c r="J2" i="26"/>
  <c r="X2" i="26"/>
  <c r="Y2" i="22"/>
  <c r="I2" i="22"/>
  <c r="J2" i="22"/>
  <c r="X2" i="22"/>
  <c r="E18" i="22"/>
  <c r="L18" i="22" s="1"/>
  <c r="H2" i="22"/>
  <c r="G18" i="26"/>
  <c r="N18" i="26" s="1"/>
  <c r="D3" i="26"/>
  <c r="D19" i="26" s="1"/>
  <c r="D3" i="22"/>
  <c r="G18" i="22"/>
  <c r="D3" i="24"/>
  <c r="D19" i="24" s="1"/>
  <c r="G18" i="24"/>
  <c r="Y2" i="24"/>
  <c r="I2" i="24"/>
  <c r="X2" i="24"/>
  <c r="J2" i="24"/>
  <c r="E18" i="24"/>
  <c r="L18" i="24" s="1"/>
  <c r="H2" i="24"/>
  <c r="V2" i="24" s="1"/>
  <c r="I2" i="16"/>
  <c r="D3" i="16"/>
  <c r="D19" i="16" s="1"/>
  <c r="N18" i="16"/>
  <c r="O18" i="16" s="1"/>
  <c r="P18" i="16" s="1"/>
  <c r="H2" i="16"/>
  <c r="W2" i="16" s="1"/>
  <c r="E18" i="16"/>
  <c r="L18" i="16" s="1"/>
  <c r="Y2" i="16"/>
  <c r="D3" i="19"/>
  <c r="D19" i="19" s="1"/>
  <c r="G18" i="19"/>
  <c r="E18" i="19"/>
  <c r="L18" i="19" s="1"/>
  <c r="Y2" i="19"/>
  <c r="X2" i="19"/>
  <c r="I2" i="19"/>
  <c r="H2" i="19"/>
  <c r="W2" i="19" s="1"/>
  <c r="J2" i="19"/>
  <c r="G18" i="18"/>
  <c r="D3" i="18"/>
  <c r="X2" i="18"/>
  <c r="Y2" i="18"/>
  <c r="E18" i="18"/>
  <c r="L18" i="18" s="1"/>
  <c r="I2" i="18"/>
  <c r="J2" i="18"/>
  <c r="H2" i="18"/>
  <c r="W2" i="18" s="1"/>
  <c r="H2" i="17"/>
  <c r="D3" i="17"/>
  <c r="G18" i="17"/>
  <c r="X2" i="16"/>
  <c r="Y2" i="17"/>
  <c r="X2" i="17"/>
  <c r="J2" i="17"/>
  <c r="I2" i="17"/>
  <c r="E18" i="17"/>
  <c r="L18" i="17" s="1"/>
  <c r="W2" i="17"/>
  <c r="V2" i="17"/>
  <c r="J2" i="14"/>
  <c r="I2" i="11"/>
  <c r="X2" i="14"/>
  <c r="Y2" i="14"/>
  <c r="I2" i="14"/>
  <c r="N18" i="11"/>
  <c r="O18" i="11" s="1"/>
  <c r="P18" i="11" s="1"/>
  <c r="E18" i="11"/>
  <c r="L18" i="11" s="1"/>
  <c r="Y2" i="11"/>
  <c r="W18" i="16"/>
  <c r="I2" i="12"/>
  <c r="H2" i="14"/>
  <c r="W2" i="14" s="1"/>
  <c r="J2" i="11"/>
  <c r="E18" i="12"/>
  <c r="L18" i="12" s="1"/>
  <c r="H2" i="12"/>
  <c r="V2" i="12" s="1"/>
  <c r="H2" i="11"/>
  <c r="W2" i="11" s="1"/>
  <c r="J2" i="12"/>
  <c r="F3" i="11"/>
  <c r="F19" i="11" s="1"/>
  <c r="E18" i="15"/>
  <c r="L18" i="15" s="1"/>
  <c r="Y2" i="15"/>
  <c r="J2" i="15"/>
  <c r="I2" i="15"/>
  <c r="H2" i="15"/>
  <c r="X2" i="15"/>
  <c r="G18" i="15"/>
  <c r="D3" i="15"/>
  <c r="D19" i="15" s="1"/>
  <c r="X2" i="12"/>
  <c r="D3" i="7"/>
  <c r="D19" i="7" s="1"/>
  <c r="G18" i="7"/>
  <c r="F3" i="12"/>
  <c r="G3" i="12" s="1"/>
  <c r="I2" i="7"/>
  <c r="E18" i="7"/>
  <c r="L18" i="7" s="1"/>
  <c r="H2" i="7"/>
  <c r="V2" i="7" s="1"/>
  <c r="X2" i="7"/>
  <c r="Y2" i="7"/>
  <c r="J2" i="7"/>
  <c r="Y2" i="10"/>
  <c r="J2" i="10"/>
  <c r="I2" i="10"/>
  <c r="H2" i="10"/>
  <c r="E18" i="10"/>
  <c r="L18" i="10" s="1"/>
  <c r="X2" i="10"/>
  <c r="D3" i="10"/>
  <c r="G18" i="10"/>
  <c r="F3" i="14"/>
  <c r="W18" i="11"/>
  <c r="C20" i="4"/>
  <c r="D18" i="4"/>
  <c r="N18" i="14"/>
  <c r="M18" i="14"/>
  <c r="M18" i="12"/>
  <c r="N18" i="12"/>
  <c r="E7" i="2"/>
  <c r="E22" i="2"/>
  <c r="J22" i="2" s="1"/>
  <c r="J6" i="2"/>
  <c r="I6" i="2"/>
  <c r="L18" i="14"/>
  <c r="D7" i="4"/>
  <c r="C9" i="4"/>
  <c r="I18" i="23" l="1"/>
  <c r="D4" i="28"/>
  <c r="F4" i="28" s="1"/>
  <c r="E4" i="28" s="1"/>
  <c r="Q18" i="28"/>
  <c r="Z18" i="28" s="1"/>
  <c r="AA18" i="28" s="1"/>
  <c r="R18" i="28"/>
  <c r="U18" i="28" s="1"/>
  <c r="E19" i="28"/>
  <c r="V3" i="28"/>
  <c r="J3" i="28"/>
  <c r="Y3" i="28"/>
  <c r="X3" i="28"/>
  <c r="G19" i="28"/>
  <c r="D20" i="28"/>
  <c r="V2" i="26"/>
  <c r="I18" i="26" s="1"/>
  <c r="H18" i="26"/>
  <c r="H18" i="27"/>
  <c r="F3" i="26"/>
  <c r="G3" i="26" s="1"/>
  <c r="F3" i="21"/>
  <c r="E3" i="21" s="1"/>
  <c r="I18" i="24"/>
  <c r="F3" i="23"/>
  <c r="E3" i="23" s="1"/>
  <c r="F3" i="27"/>
  <c r="E3" i="27" s="1"/>
  <c r="N18" i="24"/>
  <c r="M18" i="24"/>
  <c r="W2" i="22"/>
  <c r="H18" i="22" s="1"/>
  <c r="V2" i="22"/>
  <c r="I18" i="22" s="1"/>
  <c r="W18" i="21"/>
  <c r="M18" i="26"/>
  <c r="O18" i="26" s="1"/>
  <c r="P18" i="26" s="1"/>
  <c r="N18" i="23"/>
  <c r="M18" i="23"/>
  <c r="N18" i="27"/>
  <c r="M18" i="27"/>
  <c r="F3" i="24"/>
  <c r="V2" i="27"/>
  <c r="I18" i="27" s="1"/>
  <c r="W2" i="21"/>
  <c r="H18" i="21" s="1"/>
  <c r="V2" i="21"/>
  <c r="I18" i="21" s="1"/>
  <c r="N18" i="22"/>
  <c r="M18" i="22"/>
  <c r="N18" i="21"/>
  <c r="O18" i="21" s="1"/>
  <c r="P18" i="21" s="1"/>
  <c r="Q18" i="21" s="1"/>
  <c r="D19" i="22"/>
  <c r="F3" i="22"/>
  <c r="W2" i="24"/>
  <c r="H18" i="24" s="1"/>
  <c r="W2" i="23"/>
  <c r="H18" i="23" s="1"/>
  <c r="V2" i="16"/>
  <c r="I18" i="16" s="1"/>
  <c r="H18" i="19"/>
  <c r="H18" i="16"/>
  <c r="F3" i="16"/>
  <c r="F19" i="16" s="1"/>
  <c r="V2" i="18"/>
  <c r="I18" i="18" s="1"/>
  <c r="I18" i="12"/>
  <c r="H18" i="14"/>
  <c r="H18" i="17"/>
  <c r="H18" i="18"/>
  <c r="N18" i="18"/>
  <c r="M18" i="18"/>
  <c r="N18" i="17"/>
  <c r="M18" i="17"/>
  <c r="R18" i="17" s="1"/>
  <c r="U18" i="17" s="1"/>
  <c r="D19" i="17"/>
  <c r="F3" i="17"/>
  <c r="M18" i="19"/>
  <c r="N18" i="19"/>
  <c r="D19" i="18"/>
  <c r="F3" i="18"/>
  <c r="V2" i="19"/>
  <c r="I18" i="19" s="1"/>
  <c r="I18" i="17"/>
  <c r="F3" i="19"/>
  <c r="W2" i="12"/>
  <c r="H18" i="12" s="1"/>
  <c r="V2" i="11"/>
  <c r="I18" i="11" s="1"/>
  <c r="V2" i="14"/>
  <c r="I18" i="14" s="1"/>
  <c r="H18" i="11"/>
  <c r="R18" i="11"/>
  <c r="U18" i="11" s="1"/>
  <c r="Q18" i="16"/>
  <c r="R18" i="16"/>
  <c r="U18" i="16" s="1"/>
  <c r="E3" i="11"/>
  <c r="X3" i="11" s="1"/>
  <c r="F3" i="15"/>
  <c r="F19" i="15" s="1"/>
  <c r="G3" i="11"/>
  <c r="G19" i="11" s="1"/>
  <c r="N18" i="15"/>
  <c r="M18" i="15"/>
  <c r="W2" i="15"/>
  <c r="H18" i="15" s="1"/>
  <c r="V2" i="15"/>
  <c r="I18" i="15" s="1"/>
  <c r="W2" i="7"/>
  <c r="H18" i="7" s="1"/>
  <c r="F3" i="7"/>
  <c r="D19" i="10"/>
  <c r="F3" i="10"/>
  <c r="M18" i="7"/>
  <c r="N18" i="7"/>
  <c r="E3" i="12"/>
  <c r="I3" i="12" s="1"/>
  <c r="W2" i="10"/>
  <c r="H18" i="10" s="1"/>
  <c r="V2" i="10"/>
  <c r="I18" i="10" s="1"/>
  <c r="I18" i="7"/>
  <c r="F19" i="12"/>
  <c r="M18" i="10"/>
  <c r="N18" i="10"/>
  <c r="W18" i="14"/>
  <c r="O18" i="14"/>
  <c r="P18" i="14" s="1"/>
  <c r="D19" i="4"/>
  <c r="C21" i="4"/>
  <c r="G19" i="12"/>
  <c r="D4" i="12"/>
  <c r="D20" i="12" s="1"/>
  <c r="Q18" i="11"/>
  <c r="I7" i="2"/>
  <c r="E23" i="2"/>
  <c r="J23" i="2" s="1"/>
  <c r="J7" i="2"/>
  <c r="E8" i="2"/>
  <c r="E3" i="14"/>
  <c r="F19" i="14"/>
  <c r="G3" i="14"/>
  <c r="C10" i="4"/>
  <c r="D8" i="4"/>
  <c r="O18" i="12"/>
  <c r="P18" i="12" s="1"/>
  <c r="W18" i="12"/>
  <c r="G3" i="21" l="1"/>
  <c r="G4" i="28"/>
  <c r="H4" i="28" s="1"/>
  <c r="I4" i="28"/>
  <c r="D5" i="28"/>
  <c r="F5" i="28" s="1"/>
  <c r="I19" i="28"/>
  <c r="AB18" i="28"/>
  <c r="AC18" i="28" s="1"/>
  <c r="E3" i="26"/>
  <c r="H3" i="26" s="1"/>
  <c r="V3" i="26" s="1"/>
  <c r="W3" i="28"/>
  <c r="H19" i="28" s="1"/>
  <c r="M19" i="28"/>
  <c r="N19" i="28"/>
  <c r="L19" i="28"/>
  <c r="K18" i="28"/>
  <c r="S18" i="28" s="1"/>
  <c r="J18" i="28"/>
  <c r="F19" i="26"/>
  <c r="G3" i="27"/>
  <c r="D4" i="27" s="1"/>
  <c r="D20" i="27" s="1"/>
  <c r="F19" i="27"/>
  <c r="F19" i="23"/>
  <c r="G3" i="23"/>
  <c r="G19" i="23" s="1"/>
  <c r="F19" i="21"/>
  <c r="Z18" i="21"/>
  <c r="AA18" i="21" s="1"/>
  <c r="AB18" i="21"/>
  <c r="AC18" i="21" s="1"/>
  <c r="F19" i="22"/>
  <c r="G3" i="22"/>
  <c r="E3" i="22"/>
  <c r="O18" i="23"/>
  <c r="P18" i="23" s="1"/>
  <c r="R18" i="23" s="1"/>
  <c r="U18" i="23" s="1"/>
  <c r="W18" i="23"/>
  <c r="W18" i="22"/>
  <c r="O18" i="22"/>
  <c r="P18" i="22" s="1"/>
  <c r="O18" i="24"/>
  <c r="P18" i="24" s="1"/>
  <c r="Q18" i="24" s="1"/>
  <c r="W18" i="24"/>
  <c r="D4" i="21"/>
  <c r="D20" i="21" s="1"/>
  <c r="G19" i="21"/>
  <c r="J3" i="27"/>
  <c r="E19" i="27"/>
  <c r="I3" i="27"/>
  <c r="Y3" i="27"/>
  <c r="X3" i="27"/>
  <c r="Y3" i="23"/>
  <c r="X3" i="23"/>
  <c r="E19" i="23"/>
  <c r="J3" i="23"/>
  <c r="I3" i="23"/>
  <c r="W18" i="26"/>
  <c r="R18" i="26"/>
  <c r="U18" i="26" s="1"/>
  <c r="Q18" i="26"/>
  <c r="Z18" i="26" s="1"/>
  <c r="AA18" i="26" s="1"/>
  <c r="I3" i="21"/>
  <c r="X3" i="21"/>
  <c r="Y3" i="21"/>
  <c r="J3" i="21"/>
  <c r="E19" i="21"/>
  <c r="H3" i="21"/>
  <c r="V3" i="21" s="1"/>
  <c r="G3" i="24"/>
  <c r="F19" i="24"/>
  <c r="E3" i="24"/>
  <c r="R18" i="21"/>
  <c r="U18" i="21" s="1"/>
  <c r="G19" i="26"/>
  <c r="D4" i="26"/>
  <c r="O18" i="27"/>
  <c r="P18" i="27" s="1"/>
  <c r="Q18" i="27" s="1"/>
  <c r="W18" i="27"/>
  <c r="E3" i="16"/>
  <c r="E19" i="16" s="1"/>
  <c r="J18" i="16" s="1"/>
  <c r="G3" i="16"/>
  <c r="G19" i="16" s="1"/>
  <c r="M19" i="16" s="1"/>
  <c r="Q18" i="17"/>
  <c r="F19" i="18"/>
  <c r="E3" i="18"/>
  <c r="G3" i="18"/>
  <c r="O18" i="19"/>
  <c r="P18" i="19" s="1"/>
  <c r="R18" i="19" s="1"/>
  <c r="U18" i="19" s="1"/>
  <c r="W18" i="19"/>
  <c r="G3" i="17"/>
  <c r="E3" i="17"/>
  <c r="W3" i="17" s="1"/>
  <c r="F19" i="17"/>
  <c r="W18" i="17"/>
  <c r="O18" i="17"/>
  <c r="P18" i="17" s="1"/>
  <c r="G3" i="19"/>
  <c r="F19" i="19"/>
  <c r="E3" i="19"/>
  <c r="W18" i="18"/>
  <c r="O18" i="18"/>
  <c r="P18" i="18" s="1"/>
  <c r="G3" i="15"/>
  <c r="D4" i="15" s="1"/>
  <c r="D20" i="15" s="1"/>
  <c r="E3" i="15"/>
  <c r="I3" i="15" s="1"/>
  <c r="J3" i="11"/>
  <c r="I3" i="11"/>
  <c r="Y3" i="11"/>
  <c r="E19" i="11"/>
  <c r="L19" i="11" s="1"/>
  <c r="AB18" i="17"/>
  <c r="AC18" i="17" s="1"/>
  <c r="Z18" i="17"/>
  <c r="AA18" i="17" s="1"/>
  <c r="J18" i="17"/>
  <c r="K18" i="17"/>
  <c r="S18" i="17" s="1"/>
  <c r="H3" i="11"/>
  <c r="W3" i="11" s="1"/>
  <c r="AB18" i="16"/>
  <c r="AC18" i="16" s="1"/>
  <c r="Z18" i="16"/>
  <c r="AA18" i="16" s="1"/>
  <c r="D4" i="11"/>
  <c r="D20" i="11" s="1"/>
  <c r="W18" i="15"/>
  <c r="O18" i="15"/>
  <c r="P18" i="15" s="1"/>
  <c r="Q18" i="15" s="1"/>
  <c r="AB18" i="15" s="1"/>
  <c r="AC18" i="15" s="1"/>
  <c r="X3" i="12"/>
  <c r="H3" i="12"/>
  <c r="V3" i="12" s="1"/>
  <c r="Y3" i="12"/>
  <c r="J3" i="12"/>
  <c r="E19" i="12"/>
  <c r="K18" i="12" s="1"/>
  <c r="S18" i="12" s="1"/>
  <c r="G3" i="7"/>
  <c r="F19" i="7"/>
  <c r="E3" i="7"/>
  <c r="R18" i="14"/>
  <c r="U18" i="14" s="1"/>
  <c r="Q18" i="14"/>
  <c r="AB18" i="14" s="1"/>
  <c r="AC18" i="14" s="1"/>
  <c r="W18" i="7"/>
  <c r="O18" i="7"/>
  <c r="P18" i="7" s="1"/>
  <c r="Q18" i="7" s="1"/>
  <c r="O18" i="10"/>
  <c r="P18" i="10" s="1"/>
  <c r="W18" i="10"/>
  <c r="F19" i="10"/>
  <c r="G3" i="10"/>
  <c r="E3" i="10"/>
  <c r="R18" i="12"/>
  <c r="U18" i="12" s="1"/>
  <c r="Q18" i="12"/>
  <c r="I3" i="14"/>
  <c r="E19" i="14"/>
  <c r="H3" i="14"/>
  <c r="W3" i="14" s="1"/>
  <c r="Y3" i="14"/>
  <c r="X3" i="14"/>
  <c r="J3" i="14"/>
  <c r="AB18" i="11"/>
  <c r="AC18" i="11" s="1"/>
  <c r="Z18" i="11"/>
  <c r="AA18" i="11" s="1"/>
  <c r="J8" i="2"/>
  <c r="I8" i="2"/>
  <c r="E24" i="2"/>
  <c r="J24" i="2" s="1"/>
  <c r="E9" i="2"/>
  <c r="C11" i="4"/>
  <c r="D9" i="4"/>
  <c r="M19" i="12"/>
  <c r="N19" i="12"/>
  <c r="N19" i="11"/>
  <c r="M19" i="11"/>
  <c r="F4" i="12"/>
  <c r="D20" i="4"/>
  <c r="C22" i="4"/>
  <c r="G19" i="14"/>
  <c r="D4" i="14"/>
  <c r="D20" i="14" s="1"/>
  <c r="G5" i="28" l="1"/>
  <c r="E5" i="28"/>
  <c r="X3" i="26"/>
  <c r="I19" i="26" s="1"/>
  <c r="Y3" i="26"/>
  <c r="D4" i="23"/>
  <c r="D20" i="23" s="1"/>
  <c r="E19" i="26"/>
  <c r="L19" i="26" s="1"/>
  <c r="I3" i="26"/>
  <c r="J3" i="26"/>
  <c r="F20" i="28"/>
  <c r="T18" i="28"/>
  <c r="V18" i="28" s="1"/>
  <c r="X18" i="28"/>
  <c r="Y18" i="28" s="1"/>
  <c r="W19" i="28"/>
  <c r="O19" i="28"/>
  <c r="P19" i="28" s="1"/>
  <c r="Q19" i="28" s="1"/>
  <c r="G19" i="27"/>
  <c r="M19" i="27" s="1"/>
  <c r="H3" i="27"/>
  <c r="V3" i="27" s="1"/>
  <c r="I19" i="27" s="1"/>
  <c r="I19" i="21"/>
  <c r="W3" i="21"/>
  <c r="H19" i="21" s="1"/>
  <c r="H3" i="23"/>
  <c r="AB18" i="26"/>
  <c r="AC18" i="26" s="1"/>
  <c r="R18" i="27"/>
  <c r="U18" i="27" s="1"/>
  <c r="W3" i="26"/>
  <c r="Z18" i="24"/>
  <c r="AA18" i="24" s="1"/>
  <c r="AB18" i="24"/>
  <c r="AC18" i="24" s="1"/>
  <c r="Z18" i="27"/>
  <c r="AA18" i="27" s="1"/>
  <c r="AB18" i="27"/>
  <c r="AC18" i="27" s="1"/>
  <c r="N19" i="23"/>
  <c r="M19" i="23"/>
  <c r="Q18" i="23"/>
  <c r="R18" i="24"/>
  <c r="U18" i="24" s="1"/>
  <c r="G19" i="22"/>
  <c r="D4" i="22"/>
  <c r="D20" i="26"/>
  <c r="F4" i="26"/>
  <c r="J18" i="21"/>
  <c r="K18" i="21"/>
  <c r="S18" i="21" s="1"/>
  <c r="L19" i="21"/>
  <c r="F4" i="21"/>
  <c r="Q18" i="22"/>
  <c r="R18" i="22"/>
  <c r="U18" i="22" s="1"/>
  <c r="N19" i="27"/>
  <c r="E19" i="24"/>
  <c r="I3" i="24"/>
  <c r="J3" i="24"/>
  <c r="H3" i="24"/>
  <c r="W3" i="24" s="1"/>
  <c r="Y3" i="24"/>
  <c r="X3" i="24"/>
  <c r="L19" i="23"/>
  <c r="K18" i="23"/>
  <c r="S18" i="23" s="1"/>
  <c r="J18" i="23"/>
  <c r="M19" i="21"/>
  <c r="N19" i="21"/>
  <c r="E19" i="22"/>
  <c r="J3" i="22"/>
  <c r="I3" i="22"/>
  <c r="H3" i="22"/>
  <c r="W3" i="22" s="1"/>
  <c r="X3" i="22"/>
  <c r="Y3" i="22"/>
  <c r="N19" i="26"/>
  <c r="M19" i="26"/>
  <c r="L19" i="27"/>
  <c r="K18" i="27"/>
  <c r="S18" i="27" s="1"/>
  <c r="J18" i="27"/>
  <c r="T18" i="27" s="1"/>
  <c r="D4" i="24"/>
  <c r="D20" i="24" s="1"/>
  <c r="G19" i="24"/>
  <c r="F4" i="27"/>
  <c r="N19" i="16"/>
  <c r="O19" i="16" s="1"/>
  <c r="P19" i="16" s="1"/>
  <c r="L19" i="16"/>
  <c r="X3" i="16"/>
  <c r="Y3" i="16"/>
  <c r="K18" i="16"/>
  <c r="S18" i="16" s="1"/>
  <c r="J3" i="16"/>
  <c r="I3" i="16"/>
  <c r="D4" i="16"/>
  <c r="D20" i="16" s="1"/>
  <c r="H3" i="16"/>
  <c r="J18" i="11"/>
  <c r="T18" i="11" s="1"/>
  <c r="V18" i="11" s="1"/>
  <c r="K18" i="11"/>
  <c r="S18" i="11" s="1"/>
  <c r="Y3" i="15"/>
  <c r="X3" i="15"/>
  <c r="J3" i="15"/>
  <c r="G19" i="15"/>
  <c r="N19" i="15" s="1"/>
  <c r="J18" i="12"/>
  <c r="T18" i="12" s="1"/>
  <c r="V18" i="12" s="1"/>
  <c r="L19" i="12"/>
  <c r="E19" i="15"/>
  <c r="J18" i="15" s="1"/>
  <c r="H3" i="15"/>
  <c r="V3" i="15" s="1"/>
  <c r="I3" i="17"/>
  <c r="Y3" i="17"/>
  <c r="H19" i="17" s="1"/>
  <c r="H3" i="17"/>
  <c r="V3" i="17" s="1"/>
  <c r="E19" i="17"/>
  <c r="L19" i="17" s="1"/>
  <c r="X3" i="17"/>
  <c r="J3" i="17"/>
  <c r="D4" i="17"/>
  <c r="G19" i="17"/>
  <c r="Q18" i="19"/>
  <c r="H3" i="19"/>
  <c r="V3" i="19" s="1"/>
  <c r="E19" i="19"/>
  <c r="J3" i="19"/>
  <c r="I3" i="19"/>
  <c r="X3" i="19"/>
  <c r="Y3" i="19"/>
  <c r="R18" i="18"/>
  <c r="U18" i="18" s="1"/>
  <c r="Q18" i="18"/>
  <c r="G19" i="18"/>
  <c r="D4" i="18"/>
  <c r="D4" i="19"/>
  <c r="D20" i="19" s="1"/>
  <c r="G19" i="19"/>
  <c r="H3" i="18"/>
  <c r="X3" i="18"/>
  <c r="I3" i="18"/>
  <c r="E19" i="18"/>
  <c r="Y3" i="18"/>
  <c r="J3" i="18"/>
  <c r="H19" i="11"/>
  <c r="V3" i="11"/>
  <c r="I19" i="11" s="1"/>
  <c r="W3" i="12"/>
  <c r="H19" i="12" s="1"/>
  <c r="T18" i="17"/>
  <c r="V18" i="17" s="1"/>
  <c r="AF18" i="17" s="1"/>
  <c r="AG18" i="17" s="1"/>
  <c r="X18" i="17"/>
  <c r="Y18" i="17" s="1"/>
  <c r="AD18" i="17" s="1"/>
  <c r="AE18" i="17" s="1"/>
  <c r="F4" i="11"/>
  <c r="G4" i="11" s="1"/>
  <c r="D5" i="11" s="1"/>
  <c r="D21" i="11" s="1"/>
  <c r="T18" i="16"/>
  <c r="V18" i="16" s="1"/>
  <c r="X18" i="16"/>
  <c r="Y18" i="16" s="1"/>
  <c r="W19" i="16"/>
  <c r="Z18" i="15"/>
  <c r="AA18" i="15" s="1"/>
  <c r="I19" i="12"/>
  <c r="R18" i="15"/>
  <c r="U18" i="15" s="1"/>
  <c r="F4" i="15"/>
  <c r="Z18" i="14"/>
  <c r="AA18" i="14" s="1"/>
  <c r="J3" i="7"/>
  <c r="E19" i="7"/>
  <c r="Y3" i="7"/>
  <c r="X3" i="7"/>
  <c r="H3" i="7"/>
  <c r="W3" i="7" s="1"/>
  <c r="I3" i="7"/>
  <c r="H19" i="14"/>
  <c r="D4" i="7"/>
  <c r="D20" i="7" s="1"/>
  <c r="G19" i="7"/>
  <c r="Z18" i="7"/>
  <c r="AA18" i="7" s="1"/>
  <c r="AB18" i="7"/>
  <c r="AC18" i="7" s="1"/>
  <c r="D4" i="10"/>
  <c r="G19" i="10"/>
  <c r="R18" i="7"/>
  <c r="U18" i="7" s="1"/>
  <c r="X3" i="10"/>
  <c r="Y3" i="10"/>
  <c r="J3" i="10"/>
  <c r="E19" i="10"/>
  <c r="H3" i="10"/>
  <c r="V3" i="10" s="1"/>
  <c r="I3" i="10"/>
  <c r="R18" i="10"/>
  <c r="U18" i="10" s="1"/>
  <c r="Q18" i="10"/>
  <c r="V3" i="14"/>
  <c r="I19" i="14" s="1"/>
  <c r="L19" i="14"/>
  <c r="K18" i="14"/>
  <c r="S18" i="14" s="1"/>
  <c r="J18" i="14"/>
  <c r="M19" i="14"/>
  <c r="N19" i="14"/>
  <c r="O19" i="12"/>
  <c r="P19" i="12" s="1"/>
  <c r="Q19" i="12" s="1"/>
  <c r="W19" i="12"/>
  <c r="E10" i="2"/>
  <c r="J9" i="2"/>
  <c r="I9" i="2"/>
  <c r="E25" i="2"/>
  <c r="J25" i="2" s="1"/>
  <c r="AB18" i="12"/>
  <c r="AC18" i="12" s="1"/>
  <c r="Z18" i="12"/>
  <c r="AA18" i="12" s="1"/>
  <c r="F4" i="14"/>
  <c r="C23" i="4"/>
  <c r="D21" i="4"/>
  <c r="E4" i="12"/>
  <c r="F20" i="12"/>
  <c r="G4" i="12"/>
  <c r="C12" i="4"/>
  <c r="D10" i="4"/>
  <c r="O19" i="11"/>
  <c r="P19" i="11" s="1"/>
  <c r="W19" i="11"/>
  <c r="AH18" i="17"/>
  <c r="H19" i="26" l="1"/>
  <c r="I5" i="28"/>
  <c r="H5" i="28"/>
  <c r="F4" i="23"/>
  <c r="F20" i="23" s="1"/>
  <c r="W3" i="27"/>
  <c r="H19" i="27" s="1"/>
  <c r="K18" i="26"/>
  <c r="S18" i="26" s="1"/>
  <c r="J18" i="26"/>
  <c r="T18" i="26" s="1"/>
  <c r="V18" i="26" s="1"/>
  <c r="Z19" i="28"/>
  <c r="AA19" i="28" s="1"/>
  <c r="AB19" i="28"/>
  <c r="AC19" i="28" s="1"/>
  <c r="R19" i="28"/>
  <c r="U19" i="28" s="1"/>
  <c r="AD18" i="28"/>
  <c r="AE18" i="28" s="1"/>
  <c r="AF18" i="28"/>
  <c r="AG18" i="28" s="1"/>
  <c r="G20" i="28"/>
  <c r="D21" i="28"/>
  <c r="Y4" i="28"/>
  <c r="E20" i="28"/>
  <c r="X4" i="28"/>
  <c r="J4" i="28"/>
  <c r="V4" i="28"/>
  <c r="V18" i="27"/>
  <c r="AF18" i="27" s="1"/>
  <c r="AG18" i="27" s="1"/>
  <c r="H19" i="24"/>
  <c r="V3" i="24"/>
  <c r="I19" i="24" s="1"/>
  <c r="V3" i="23"/>
  <c r="I19" i="23" s="1"/>
  <c r="W3" i="23"/>
  <c r="H19" i="23" s="1"/>
  <c r="H19" i="22"/>
  <c r="F20" i="26"/>
  <c r="E4" i="26"/>
  <c r="G4" i="26"/>
  <c r="N19" i="24"/>
  <c r="M19" i="24"/>
  <c r="E4" i="21"/>
  <c r="G4" i="21"/>
  <c r="F20" i="21"/>
  <c r="T18" i="21"/>
  <c r="V18" i="21" s="1"/>
  <c r="X18" i="21"/>
  <c r="Y18" i="21" s="1"/>
  <c r="X18" i="27"/>
  <c r="Y18" i="27" s="1"/>
  <c r="AD18" i="27" s="1"/>
  <c r="AE18" i="27" s="1"/>
  <c r="O19" i="26"/>
  <c r="P19" i="26" s="1"/>
  <c r="Q19" i="26" s="1"/>
  <c r="W19" i="26"/>
  <c r="E4" i="27"/>
  <c r="F20" i="27"/>
  <c r="G4" i="27"/>
  <c r="AB18" i="23"/>
  <c r="AC18" i="23" s="1"/>
  <c r="Z18" i="23"/>
  <c r="AA18" i="23" s="1"/>
  <c r="F4" i="24"/>
  <c r="L19" i="22"/>
  <c r="K18" i="22"/>
  <c r="S18" i="22" s="1"/>
  <c r="J18" i="22"/>
  <c r="J18" i="24"/>
  <c r="K18" i="24"/>
  <c r="S18" i="24" s="1"/>
  <c r="L19" i="24"/>
  <c r="D20" i="22"/>
  <c r="F4" i="22"/>
  <c r="V3" i="22"/>
  <c r="I19" i="22" s="1"/>
  <c r="G4" i="23"/>
  <c r="W19" i="23"/>
  <c r="O19" i="23"/>
  <c r="P19" i="23" s="1"/>
  <c r="R19" i="23" s="1"/>
  <c r="U19" i="23" s="1"/>
  <c r="O19" i="27"/>
  <c r="P19" i="27" s="1"/>
  <c r="R19" i="27" s="1"/>
  <c r="U19" i="27" s="1"/>
  <c r="W19" i="27"/>
  <c r="N19" i="22"/>
  <c r="M19" i="22"/>
  <c r="O19" i="21"/>
  <c r="P19" i="21" s="1"/>
  <c r="Q19" i="21" s="1"/>
  <c r="W19" i="21"/>
  <c r="T18" i="23"/>
  <c r="V18" i="23" s="1"/>
  <c r="X18" i="23"/>
  <c r="Y18" i="23" s="1"/>
  <c r="AB18" i="22"/>
  <c r="AC18" i="22" s="1"/>
  <c r="Z18" i="22"/>
  <c r="AA18" i="22" s="1"/>
  <c r="M19" i="15"/>
  <c r="W19" i="15" s="1"/>
  <c r="AF18" i="11"/>
  <c r="AG18" i="11" s="1"/>
  <c r="X18" i="11"/>
  <c r="Y18" i="11" s="1"/>
  <c r="AD18" i="11" s="1"/>
  <c r="AE18" i="11" s="1"/>
  <c r="I19" i="15"/>
  <c r="W3" i="15"/>
  <c r="H19" i="15" s="1"/>
  <c r="X18" i="12"/>
  <c r="Y18" i="12" s="1"/>
  <c r="AD18" i="12" s="1"/>
  <c r="AE18" i="12" s="1"/>
  <c r="K18" i="15"/>
  <c r="S18" i="15" s="1"/>
  <c r="F4" i="16"/>
  <c r="V3" i="16"/>
  <c r="I19" i="16" s="1"/>
  <c r="W3" i="16"/>
  <c r="H19" i="16" s="1"/>
  <c r="L19" i="15"/>
  <c r="I19" i="19"/>
  <c r="F4" i="19"/>
  <c r="E4" i="19" s="1"/>
  <c r="M19" i="17"/>
  <c r="Q19" i="17" s="1"/>
  <c r="N19" i="17"/>
  <c r="Z18" i="19"/>
  <c r="AA18" i="19" s="1"/>
  <c r="AB18" i="19"/>
  <c r="AC18" i="19" s="1"/>
  <c r="D20" i="18"/>
  <c r="F4" i="18"/>
  <c r="M19" i="18"/>
  <c r="N19" i="18"/>
  <c r="V3" i="18"/>
  <c r="I19" i="18" s="1"/>
  <c r="W3" i="18"/>
  <c r="H19" i="18" s="1"/>
  <c r="I19" i="17"/>
  <c r="W3" i="19"/>
  <c r="H19" i="19" s="1"/>
  <c r="L19" i="19"/>
  <c r="K18" i="19"/>
  <c r="S18" i="19" s="1"/>
  <c r="J18" i="19"/>
  <c r="N19" i="19"/>
  <c r="M19" i="19"/>
  <c r="AB18" i="18"/>
  <c r="AC18" i="18" s="1"/>
  <c r="Z18" i="18"/>
  <c r="AA18" i="18" s="1"/>
  <c r="L19" i="18"/>
  <c r="K18" i="18"/>
  <c r="S18" i="18" s="1"/>
  <c r="J18" i="18"/>
  <c r="D20" i="17"/>
  <c r="F4" i="17"/>
  <c r="AD18" i="16"/>
  <c r="AE18" i="16" s="1"/>
  <c r="AF18" i="16"/>
  <c r="AG18" i="16" s="1"/>
  <c r="H19" i="7"/>
  <c r="G20" i="11"/>
  <c r="F20" i="11"/>
  <c r="E4" i="11"/>
  <c r="H4" i="11" s="1"/>
  <c r="V4" i="11" s="1"/>
  <c r="AL18" i="17"/>
  <c r="Q19" i="16"/>
  <c r="R19" i="16"/>
  <c r="U19" i="16" s="1"/>
  <c r="G4" i="15"/>
  <c r="F20" i="15"/>
  <c r="E4" i="15"/>
  <c r="T18" i="15"/>
  <c r="V18" i="15" s="1"/>
  <c r="X18" i="15"/>
  <c r="Y18" i="15" s="1"/>
  <c r="W3" i="10"/>
  <c r="H19" i="10" s="1"/>
  <c r="R19" i="12"/>
  <c r="U19" i="12" s="1"/>
  <c r="F4" i="7"/>
  <c r="G4" i="7" s="1"/>
  <c r="I19" i="10"/>
  <c r="V3" i="7"/>
  <c r="I19" i="7" s="1"/>
  <c r="K18" i="7"/>
  <c r="S18" i="7" s="1"/>
  <c r="L19" i="7"/>
  <c r="J18" i="7"/>
  <c r="M19" i="7"/>
  <c r="N19" i="7"/>
  <c r="R19" i="11"/>
  <c r="U19" i="11" s="1"/>
  <c r="Q19" i="11"/>
  <c r="AB19" i="11" s="1"/>
  <c r="AC19" i="11" s="1"/>
  <c r="Z18" i="10"/>
  <c r="AA18" i="10" s="1"/>
  <c r="AB18" i="10"/>
  <c r="AC18" i="10" s="1"/>
  <c r="L19" i="10"/>
  <c r="K18" i="10"/>
  <c r="S18" i="10" s="1"/>
  <c r="J18" i="10"/>
  <c r="N19" i="10"/>
  <c r="M19" i="10"/>
  <c r="D20" i="10"/>
  <c r="F4" i="10"/>
  <c r="Z19" i="12"/>
  <c r="AA19" i="12" s="1"/>
  <c r="AB19" i="12"/>
  <c r="AC19" i="12" s="1"/>
  <c r="W19" i="14"/>
  <c r="O19" i="14"/>
  <c r="P19" i="14" s="1"/>
  <c r="R19" i="14" s="1"/>
  <c r="U19" i="14" s="1"/>
  <c r="T18" i="14"/>
  <c r="V18" i="14" s="1"/>
  <c r="X18" i="14"/>
  <c r="Y18" i="14" s="1"/>
  <c r="H4" i="12"/>
  <c r="W4" i="12" s="1"/>
  <c r="Y4" i="12"/>
  <c r="J4" i="12"/>
  <c r="I4" i="12"/>
  <c r="E20" i="12"/>
  <c r="X4" i="12"/>
  <c r="J10" i="2"/>
  <c r="I10" i="2"/>
  <c r="E26" i="2"/>
  <c r="J26" i="2" s="1"/>
  <c r="E11" i="2"/>
  <c r="C24" i="4"/>
  <c r="D22" i="4"/>
  <c r="F5" i="11"/>
  <c r="D11" i="4"/>
  <c r="C13" i="4"/>
  <c r="E4" i="14"/>
  <c r="F20" i="14"/>
  <c r="G4" i="14"/>
  <c r="AF18" i="12"/>
  <c r="AG18" i="12" s="1"/>
  <c r="G20" i="12"/>
  <c r="D5" i="12"/>
  <c r="D21" i="12" s="1"/>
  <c r="AI18" i="27"/>
  <c r="AH18" i="16"/>
  <c r="AI18" i="16"/>
  <c r="AH18" i="11"/>
  <c r="AI18" i="11"/>
  <c r="AI18" i="12"/>
  <c r="AH18" i="27"/>
  <c r="AH18" i="28"/>
  <c r="AI18" i="28"/>
  <c r="AH18" i="12"/>
  <c r="I20" i="28" l="1"/>
  <c r="X18" i="26"/>
  <c r="Y18" i="26" s="1"/>
  <c r="E4" i="23"/>
  <c r="J4" i="23" s="1"/>
  <c r="W4" i="28"/>
  <c r="H20" i="28" s="1"/>
  <c r="AL18" i="28"/>
  <c r="L20" i="28"/>
  <c r="J19" i="28"/>
  <c r="K19" i="28"/>
  <c r="S19" i="28" s="1"/>
  <c r="F21" i="28"/>
  <c r="N20" i="28"/>
  <c r="M20" i="28"/>
  <c r="Q19" i="27"/>
  <c r="AB19" i="27" s="1"/>
  <c r="AC19" i="27" s="1"/>
  <c r="AF18" i="23"/>
  <c r="AG18" i="23" s="1"/>
  <c r="R19" i="26"/>
  <c r="U19" i="26" s="1"/>
  <c r="R19" i="21"/>
  <c r="U19" i="21" s="1"/>
  <c r="AL18" i="27"/>
  <c r="AB19" i="26"/>
  <c r="AC19" i="26" s="1"/>
  <c r="Z19" i="26"/>
  <c r="AA19" i="26" s="1"/>
  <c r="F20" i="22"/>
  <c r="E4" i="22"/>
  <c r="G4" i="22"/>
  <c r="G20" i="27"/>
  <c r="D5" i="27"/>
  <c r="D21" i="27" s="1"/>
  <c r="D5" i="21"/>
  <c r="D21" i="21" s="1"/>
  <c r="G20" i="21"/>
  <c r="Y4" i="21"/>
  <c r="I4" i="21"/>
  <c r="X4" i="21"/>
  <c r="E20" i="21"/>
  <c r="J4" i="21"/>
  <c r="H4" i="21"/>
  <c r="W4" i="21" s="1"/>
  <c r="Q19" i="23"/>
  <c r="J4" i="27"/>
  <c r="I4" i="27"/>
  <c r="H4" i="27"/>
  <c r="V4" i="27" s="1"/>
  <c r="Y4" i="27"/>
  <c r="X4" i="27"/>
  <c r="E20" i="27"/>
  <c r="O19" i="24"/>
  <c r="P19" i="24" s="1"/>
  <c r="Q19" i="24" s="1"/>
  <c r="AB19" i="24" s="1"/>
  <c r="AC19" i="24" s="1"/>
  <c r="W19" i="24"/>
  <c r="Z19" i="24"/>
  <c r="AA19" i="24" s="1"/>
  <c r="T18" i="22"/>
  <c r="V18" i="22" s="1"/>
  <c r="X18" i="22"/>
  <c r="Y18" i="22" s="1"/>
  <c r="G20" i="26"/>
  <c r="D5" i="26"/>
  <c r="I4" i="26"/>
  <c r="Y4" i="26"/>
  <c r="H4" i="26"/>
  <c r="X4" i="26"/>
  <c r="J4" i="26"/>
  <c r="E20" i="26"/>
  <c r="O19" i="15"/>
  <c r="P19" i="15" s="1"/>
  <c r="R19" i="15" s="1"/>
  <c r="U19" i="15" s="1"/>
  <c r="AF18" i="26"/>
  <c r="AG18" i="26" s="1"/>
  <c r="AD18" i="26"/>
  <c r="AE18" i="26" s="1"/>
  <c r="D5" i="23"/>
  <c r="D21" i="23" s="1"/>
  <c r="G20" i="23"/>
  <c r="Z19" i="21"/>
  <c r="AA19" i="21" s="1"/>
  <c r="AB19" i="21"/>
  <c r="AC19" i="21" s="1"/>
  <c r="O19" i="22"/>
  <c r="P19" i="22" s="1"/>
  <c r="W19" i="22"/>
  <c r="G4" i="24"/>
  <c r="F20" i="24"/>
  <c r="E4" i="24"/>
  <c r="AF18" i="21"/>
  <c r="AG18" i="21" s="1"/>
  <c r="AD18" i="21"/>
  <c r="AE18" i="21" s="1"/>
  <c r="T18" i="24"/>
  <c r="V18" i="24" s="1"/>
  <c r="X18" i="24"/>
  <c r="Y18" i="24" s="1"/>
  <c r="AD18" i="23"/>
  <c r="AE18" i="23" s="1"/>
  <c r="F20" i="19"/>
  <c r="G4" i="19"/>
  <c r="G20" i="19" s="1"/>
  <c r="R19" i="17"/>
  <c r="U19" i="17" s="1"/>
  <c r="G4" i="16"/>
  <c r="F20" i="16"/>
  <c r="E4" i="16"/>
  <c r="M20" i="11"/>
  <c r="W20" i="11" s="1"/>
  <c r="O19" i="18"/>
  <c r="P19" i="18" s="1"/>
  <c r="W19" i="18"/>
  <c r="E4" i="17"/>
  <c r="F20" i="17"/>
  <c r="AI18" i="17"/>
  <c r="G4" i="17"/>
  <c r="F20" i="18"/>
  <c r="E4" i="18"/>
  <c r="G4" i="18"/>
  <c r="I4" i="11"/>
  <c r="J4" i="11"/>
  <c r="E20" i="11"/>
  <c r="L20" i="11" s="1"/>
  <c r="Y4" i="11"/>
  <c r="O19" i="19"/>
  <c r="P19" i="19" s="1"/>
  <c r="R19" i="19" s="1"/>
  <c r="U19" i="19" s="1"/>
  <c r="W19" i="19"/>
  <c r="X4" i="11"/>
  <c r="I20" i="11" s="1"/>
  <c r="W4" i="11"/>
  <c r="E20" i="19"/>
  <c r="J4" i="19"/>
  <c r="I4" i="19"/>
  <c r="X4" i="19"/>
  <c r="Y4" i="19"/>
  <c r="T18" i="18"/>
  <c r="V18" i="18" s="1"/>
  <c r="AF18" i="18" s="1"/>
  <c r="AG18" i="18" s="1"/>
  <c r="X18" i="18"/>
  <c r="Y18" i="18" s="1"/>
  <c r="Z19" i="11"/>
  <c r="AA19" i="11" s="1"/>
  <c r="T18" i="19"/>
  <c r="V18" i="19" s="1"/>
  <c r="AF18" i="19" s="1"/>
  <c r="AG18" i="19" s="1"/>
  <c r="X18" i="19"/>
  <c r="Y18" i="19" s="1"/>
  <c r="W19" i="17"/>
  <c r="O19" i="17"/>
  <c r="P19" i="17" s="1"/>
  <c r="N20" i="11"/>
  <c r="AL18" i="16"/>
  <c r="Q19" i="15"/>
  <c r="Z19" i="15" s="1"/>
  <c r="AA19" i="15" s="1"/>
  <c r="AB19" i="17"/>
  <c r="AC19" i="17" s="1"/>
  <c r="Z19" i="17"/>
  <c r="AA19" i="17" s="1"/>
  <c r="J19" i="17"/>
  <c r="K19" i="17"/>
  <c r="S19" i="17" s="1"/>
  <c r="Z19" i="16"/>
  <c r="AA19" i="16" s="1"/>
  <c r="AB19" i="16"/>
  <c r="AC19" i="16" s="1"/>
  <c r="V4" i="12"/>
  <c r="I20" i="12" s="1"/>
  <c r="AF18" i="15"/>
  <c r="AG18" i="15" s="1"/>
  <c r="AD18" i="15"/>
  <c r="AE18" i="15" s="1"/>
  <c r="X4" i="15"/>
  <c r="I4" i="15"/>
  <c r="Y4" i="15"/>
  <c r="H4" i="15"/>
  <c r="V4" i="15" s="1"/>
  <c r="J4" i="15"/>
  <c r="E20" i="15"/>
  <c r="G20" i="15"/>
  <c r="D5" i="15"/>
  <c r="F20" i="7"/>
  <c r="E4" i="7"/>
  <c r="I4" i="7" s="1"/>
  <c r="G20" i="7"/>
  <c r="D5" i="7"/>
  <c r="D21" i="7" s="1"/>
  <c r="H20" i="12"/>
  <c r="W19" i="7"/>
  <c r="O19" i="7"/>
  <c r="P19" i="7" s="1"/>
  <c r="R19" i="7" s="1"/>
  <c r="U19" i="7" s="1"/>
  <c r="X18" i="7"/>
  <c r="Y18" i="7" s="1"/>
  <c r="T18" i="7"/>
  <c r="V18" i="7" s="1"/>
  <c r="AL18" i="11"/>
  <c r="W19" i="10"/>
  <c r="O19" i="10"/>
  <c r="P19" i="10" s="1"/>
  <c r="R19" i="10" s="1"/>
  <c r="U19" i="10" s="1"/>
  <c r="F20" i="10"/>
  <c r="E4" i="10"/>
  <c r="G4" i="10"/>
  <c r="X18" i="10"/>
  <c r="Y18" i="10" s="1"/>
  <c r="T18" i="10"/>
  <c r="V18" i="10" s="1"/>
  <c r="AF18" i="10" s="1"/>
  <c r="AG18" i="10" s="1"/>
  <c r="Q19" i="14"/>
  <c r="Z19" i="14" s="1"/>
  <c r="AA19" i="14" s="1"/>
  <c r="AL18" i="12"/>
  <c r="D23" i="4"/>
  <c r="C25" i="4"/>
  <c r="D5" i="14"/>
  <c r="D21" i="14" s="1"/>
  <c r="G20" i="14"/>
  <c r="F5" i="12"/>
  <c r="AF18" i="14"/>
  <c r="AG18" i="14" s="1"/>
  <c r="AD18" i="14"/>
  <c r="AE18" i="14" s="1"/>
  <c r="I4" i="14"/>
  <c r="E20" i="14"/>
  <c r="H4" i="14"/>
  <c r="V4" i="14" s="1"/>
  <c r="X4" i="14"/>
  <c r="J4" i="14"/>
  <c r="Y4" i="14"/>
  <c r="F21" i="11"/>
  <c r="E5" i="11"/>
  <c r="G5" i="11"/>
  <c r="D12" i="4"/>
  <c r="C14" i="4"/>
  <c r="N20" i="12"/>
  <c r="M20" i="12"/>
  <c r="E12" i="2"/>
  <c r="E27" i="2"/>
  <c r="J27" i="2" s="1"/>
  <c r="J11" i="2"/>
  <c r="I11" i="2"/>
  <c r="L20" i="12"/>
  <c r="J19" i="12"/>
  <c r="K19" i="12"/>
  <c r="S19" i="12" s="1"/>
  <c r="AH18" i="26"/>
  <c r="AH18" i="15"/>
  <c r="AI18" i="23"/>
  <c r="AI18" i="19"/>
  <c r="AH18" i="23"/>
  <c r="AH18" i="14"/>
  <c r="AI18" i="15"/>
  <c r="AH18" i="21"/>
  <c r="AI18" i="21"/>
  <c r="AI18" i="18"/>
  <c r="AI18" i="14"/>
  <c r="AI18" i="26"/>
  <c r="AI18" i="10"/>
  <c r="Z19" i="27" l="1"/>
  <c r="AA19" i="27" s="1"/>
  <c r="E20" i="23"/>
  <c r="X4" i="23"/>
  <c r="J5" i="28"/>
  <c r="I4" i="23"/>
  <c r="Y4" i="23"/>
  <c r="H4" i="23"/>
  <c r="W4" i="23" s="1"/>
  <c r="H20" i="23" s="1"/>
  <c r="D6" i="28"/>
  <c r="D22" i="28" s="1"/>
  <c r="G21" i="28"/>
  <c r="T19" i="28"/>
  <c r="V19" i="28" s="1"/>
  <c r="X19" i="28"/>
  <c r="Y19" i="28" s="1"/>
  <c r="O20" i="28"/>
  <c r="P20" i="28" s="1"/>
  <c r="R20" i="28" s="1"/>
  <c r="U20" i="28" s="1"/>
  <c r="W20" i="28"/>
  <c r="V4" i="21"/>
  <c r="I20" i="21" s="1"/>
  <c r="I20" i="27"/>
  <c r="F5" i="27"/>
  <c r="F21" i="27" s="1"/>
  <c r="H20" i="21"/>
  <c r="W4" i="27"/>
  <c r="H20" i="27" s="1"/>
  <c r="AL18" i="26"/>
  <c r="AL18" i="23"/>
  <c r="AL18" i="21"/>
  <c r="R19" i="24"/>
  <c r="U19" i="24" s="1"/>
  <c r="M20" i="27"/>
  <c r="N20" i="27"/>
  <c r="AB19" i="23"/>
  <c r="AC19" i="23" s="1"/>
  <c r="Z19" i="23"/>
  <c r="AA19" i="23" s="1"/>
  <c r="G20" i="24"/>
  <c r="D5" i="24"/>
  <c r="D21" i="24" s="1"/>
  <c r="F5" i="23"/>
  <c r="D21" i="26"/>
  <c r="F5" i="26"/>
  <c r="D5" i="22"/>
  <c r="G20" i="22"/>
  <c r="E20" i="24"/>
  <c r="H4" i="24"/>
  <c r="V4" i="24" s="1"/>
  <c r="Y4" i="24"/>
  <c r="X4" i="24"/>
  <c r="I4" i="24"/>
  <c r="J4" i="24"/>
  <c r="AF18" i="22"/>
  <c r="AG18" i="22" s="1"/>
  <c r="AD18" i="22"/>
  <c r="AE18" i="22" s="1"/>
  <c r="E20" i="22"/>
  <c r="H4" i="22"/>
  <c r="W4" i="22" s="1"/>
  <c r="X4" i="22"/>
  <c r="I4" i="22"/>
  <c r="Y4" i="22"/>
  <c r="J4" i="22"/>
  <c r="L20" i="21"/>
  <c r="K19" i="21"/>
  <c r="S19" i="21" s="1"/>
  <c r="J19" i="21"/>
  <c r="AD18" i="24"/>
  <c r="AE18" i="24" s="1"/>
  <c r="AF18" i="24"/>
  <c r="AG18" i="24" s="1"/>
  <c r="L20" i="27"/>
  <c r="K19" i="27"/>
  <c r="S19" i="27" s="1"/>
  <c r="J19" i="27"/>
  <c r="M20" i="23"/>
  <c r="N20" i="23"/>
  <c r="R19" i="22"/>
  <c r="U19" i="22" s="1"/>
  <c r="Q19" i="22"/>
  <c r="N20" i="26"/>
  <c r="M20" i="26"/>
  <c r="K19" i="26"/>
  <c r="S19" i="26" s="1"/>
  <c r="J19" i="26"/>
  <c r="L20" i="26"/>
  <c r="F5" i="21"/>
  <c r="W4" i="26"/>
  <c r="H20" i="26" s="1"/>
  <c r="V4" i="26"/>
  <c r="I20" i="26" s="1"/>
  <c r="L20" i="23"/>
  <c r="K19" i="23"/>
  <c r="S19" i="23" s="1"/>
  <c r="J19" i="23"/>
  <c r="N20" i="21"/>
  <c r="M20" i="21"/>
  <c r="J19" i="11"/>
  <c r="T19" i="11" s="1"/>
  <c r="V19" i="11" s="1"/>
  <c r="D5" i="19"/>
  <c r="D21" i="19" s="1"/>
  <c r="H4" i="19"/>
  <c r="V4" i="19" s="1"/>
  <c r="I20" i="19" s="1"/>
  <c r="O20" i="11"/>
  <c r="P20" i="11" s="1"/>
  <c r="R20" i="11" s="1"/>
  <c r="U20" i="11" s="1"/>
  <c r="H20" i="11"/>
  <c r="K19" i="11"/>
  <c r="S19" i="11" s="1"/>
  <c r="G20" i="16"/>
  <c r="D5" i="16"/>
  <c r="H4" i="16"/>
  <c r="W4" i="16" s="1"/>
  <c r="Y4" i="16"/>
  <c r="J4" i="16"/>
  <c r="X4" i="16"/>
  <c r="I4" i="16"/>
  <c r="E20" i="16"/>
  <c r="Q19" i="19"/>
  <c r="AB19" i="19" s="1"/>
  <c r="AC19" i="19" s="1"/>
  <c r="AD18" i="18"/>
  <c r="AE18" i="18" s="1"/>
  <c r="Y4" i="17"/>
  <c r="E20" i="17"/>
  <c r="L20" i="17" s="1"/>
  <c r="X4" i="17"/>
  <c r="H4" i="17"/>
  <c r="V4" i="17" s="1"/>
  <c r="I4" i="17"/>
  <c r="J4" i="17"/>
  <c r="Q19" i="18"/>
  <c r="R19" i="18"/>
  <c r="U19" i="18" s="1"/>
  <c r="D5" i="18"/>
  <c r="D21" i="18" s="1"/>
  <c r="G20" i="18"/>
  <c r="Y4" i="18"/>
  <c r="E20" i="18"/>
  <c r="J4" i="18"/>
  <c r="X4" i="18"/>
  <c r="I4" i="18"/>
  <c r="H4" i="18"/>
  <c r="L20" i="19"/>
  <c r="K19" i="19"/>
  <c r="S19" i="19" s="1"/>
  <c r="J19" i="19"/>
  <c r="T19" i="19" s="1"/>
  <c r="V19" i="19" s="1"/>
  <c r="AD18" i="19"/>
  <c r="AE18" i="19" s="1"/>
  <c r="N20" i="19"/>
  <c r="M20" i="19"/>
  <c r="D5" i="17"/>
  <c r="D21" i="17" s="1"/>
  <c r="G20" i="17"/>
  <c r="W4" i="17"/>
  <c r="AB19" i="15"/>
  <c r="AC19" i="15" s="1"/>
  <c r="I20" i="15"/>
  <c r="T19" i="17"/>
  <c r="V19" i="17" s="1"/>
  <c r="X19" i="17"/>
  <c r="Y19" i="17" s="1"/>
  <c r="AF19" i="17"/>
  <c r="AG19" i="17" s="1"/>
  <c r="E20" i="7"/>
  <c r="L20" i="7" s="1"/>
  <c r="X4" i="7"/>
  <c r="Y4" i="7"/>
  <c r="AL18" i="15"/>
  <c r="D21" i="15"/>
  <c r="F5" i="15"/>
  <c r="N20" i="15"/>
  <c r="M20" i="15"/>
  <c r="L20" i="15"/>
  <c r="K19" i="15"/>
  <c r="S19" i="15" s="1"/>
  <c r="J19" i="15"/>
  <c r="H4" i="7"/>
  <c r="W4" i="7" s="1"/>
  <c r="J4" i="7"/>
  <c r="W4" i="15"/>
  <c r="H20" i="15" s="1"/>
  <c r="AD18" i="10"/>
  <c r="AE18" i="10" s="1"/>
  <c r="M20" i="7"/>
  <c r="N20" i="7"/>
  <c r="Q19" i="7"/>
  <c r="AD18" i="7"/>
  <c r="AE18" i="7" s="1"/>
  <c r="AF18" i="7"/>
  <c r="AG18" i="7" s="1"/>
  <c r="F5" i="7"/>
  <c r="I20" i="14"/>
  <c r="D5" i="10"/>
  <c r="G20" i="10"/>
  <c r="AB19" i="14"/>
  <c r="AC19" i="14" s="1"/>
  <c r="J4" i="10"/>
  <c r="Y4" i="10"/>
  <c r="I4" i="10"/>
  <c r="H4" i="10"/>
  <c r="W4" i="10" s="1"/>
  <c r="E20" i="10"/>
  <c r="X4" i="10"/>
  <c r="Q19" i="10"/>
  <c r="W4" i="14"/>
  <c r="H20" i="14" s="1"/>
  <c r="AL18" i="14"/>
  <c r="M20" i="14"/>
  <c r="N20" i="14"/>
  <c r="F5" i="14"/>
  <c r="D13" i="4"/>
  <c r="C15" i="4"/>
  <c r="F2" i="25" s="1"/>
  <c r="T19" i="12"/>
  <c r="V19" i="12" s="1"/>
  <c r="X19" i="12"/>
  <c r="Y19" i="12" s="1"/>
  <c r="D24" i="4"/>
  <c r="C26" i="4"/>
  <c r="L20" i="14"/>
  <c r="J19" i="14"/>
  <c r="K19" i="14"/>
  <c r="S19" i="14" s="1"/>
  <c r="G21" i="11"/>
  <c r="D6" i="11"/>
  <c r="D22" i="11" s="1"/>
  <c r="O20" i="12"/>
  <c r="P20" i="12" s="1"/>
  <c r="W20" i="12"/>
  <c r="E13" i="2"/>
  <c r="E28" i="2"/>
  <c r="J28" i="2" s="1"/>
  <c r="J12" i="2"/>
  <c r="I12" i="2"/>
  <c r="J5" i="11"/>
  <c r="E21" i="11"/>
  <c r="H5" i="11"/>
  <c r="V5" i="11" s="1"/>
  <c r="X5" i="11"/>
  <c r="Y5" i="11"/>
  <c r="I5" i="11"/>
  <c r="F21" i="12"/>
  <c r="G5" i="12"/>
  <c r="E5" i="12"/>
  <c r="AI19" i="17"/>
  <c r="AH18" i="22"/>
  <c r="AI18" i="22"/>
  <c r="AH18" i="24"/>
  <c r="AH18" i="18"/>
  <c r="AI18" i="24"/>
  <c r="AH18" i="10"/>
  <c r="AH18" i="7"/>
  <c r="AH18" i="19"/>
  <c r="AI18" i="7"/>
  <c r="V4" i="23" l="1"/>
  <c r="I20" i="23" s="1"/>
  <c r="V5" i="28"/>
  <c r="E21" i="28"/>
  <c r="K20" i="28" s="1"/>
  <c r="S20" i="28" s="1"/>
  <c r="W5" i="28"/>
  <c r="X5" i="28"/>
  <c r="Y5" i="28"/>
  <c r="E5" i="27"/>
  <c r="X5" i="27" s="1"/>
  <c r="G5" i="27"/>
  <c r="AF19" i="28"/>
  <c r="AG19" i="28" s="1"/>
  <c r="AD19" i="28"/>
  <c r="AE19" i="28" s="1"/>
  <c r="N21" i="28"/>
  <c r="M21" i="28"/>
  <c r="Q20" i="28"/>
  <c r="F6" i="28"/>
  <c r="AF19" i="11"/>
  <c r="AG19" i="11" s="1"/>
  <c r="X19" i="11"/>
  <c r="Y19" i="11" s="1"/>
  <c r="I20" i="24"/>
  <c r="V4" i="22"/>
  <c r="I20" i="22" s="1"/>
  <c r="AL18" i="24"/>
  <c r="AL18" i="22"/>
  <c r="O20" i="23"/>
  <c r="P20" i="23" s="1"/>
  <c r="Q20" i="23" s="1"/>
  <c r="AB20" i="23" s="1"/>
  <c r="AC20" i="23" s="1"/>
  <c r="W20" i="23"/>
  <c r="L20" i="24"/>
  <c r="K19" i="24"/>
  <c r="S19" i="24" s="1"/>
  <c r="J19" i="24"/>
  <c r="T19" i="27"/>
  <c r="V19" i="27" s="1"/>
  <c r="X19" i="27"/>
  <c r="Y19" i="27" s="1"/>
  <c r="M20" i="24"/>
  <c r="N20" i="24"/>
  <c r="H20" i="22"/>
  <c r="D6" i="27"/>
  <c r="F21" i="21"/>
  <c r="G5" i="21"/>
  <c r="E5" i="21"/>
  <c r="J19" i="22"/>
  <c r="L20" i="22"/>
  <c r="K19" i="22"/>
  <c r="S19" i="22" s="1"/>
  <c r="W20" i="27"/>
  <c r="O20" i="27"/>
  <c r="P20" i="27" s="1"/>
  <c r="Q20" i="27" s="1"/>
  <c r="T19" i="26"/>
  <c r="V19" i="26" s="1"/>
  <c r="X19" i="26"/>
  <c r="Y19" i="26" s="1"/>
  <c r="E5" i="26"/>
  <c r="F21" i="26"/>
  <c r="G5" i="26"/>
  <c r="W20" i="26"/>
  <c r="O20" i="26"/>
  <c r="P20" i="26" s="1"/>
  <c r="Q20" i="26" s="1"/>
  <c r="Z20" i="26" s="1"/>
  <c r="AA20" i="26" s="1"/>
  <c r="X19" i="21"/>
  <c r="Y19" i="21" s="1"/>
  <c r="T19" i="21"/>
  <c r="V19" i="21" s="1"/>
  <c r="W4" i="24"/>
  <c r="H20" i="24" s="1"/>
  <c r="N20" i="22"/>
  <c r="M20" i="22"/>
  <c r="D21" i="22"/>
  <c r="F5" i="22"/>
  <c r="O20" i="21"/>
  <c r="P20" i="21" s="1"/>
  <c r="Q20" i="21" s="1"/>
  <c r="W20" i="21"/>
  <c r="F21" i="23"/>
  <c r="E5" i="23"/>
  <c r="G5" i="23"/>
  <c r="Z19" i="22"/>
  <c r="AA19" i="22" s="1"/>
  <c r="AB19" i="22"/>
  <c r="AC19" i="22" s="1"/>
  <c r="F5" i="24"/>
  <c r="F18" i="25"/>
  <c r="G2" i="25"/>
  <c r="E2" i="25"/>
  <c r="T19" i="23"/>
  <c r="V19" i="23" s="1"/>
  <c r="AF19" i="23" s="1"/>
  <c r="AG19" i="23" s="1"/>
  <c r="X19" i="23"/>
  <c r="Y19" i="23" s="1"/>
  <c r="W4" i="19"/>
  <c r="H20" i="19" s="1"/>
  <c r="F5" i="19"/>
  <c r="G5" i="19" s="1"/>
  <c r="I20" i="17"/>
  <c r="Q20" i="11"/>
  <c r="Z20" i="11" s="1"/>
  <c r="AA20" i="11" s="1"/>
  <c r="AD19" i="11"/>
  <c r="AE19" i="11" s="1"/>
  <c r="V4" i="16"/>
  <c r="I20" i="16" s="1"/>
  <c r="L20" i="16"/>
  <c r="K19" i="16"/>
  <c r="S19" i="16" s="1"/>
  <c r="J19" i="16"/>
  <c r="Z19" i="19"/>
  <c r="AA19" i="19" s="1"/>
  <c r="AF19" i="19" s="1"/>
  <c r="AG19" i="19" s="1"/>
  <c r="H20" i="16"/>
  <c r="D21" i="16"/>
  <c r="F5" i="16"/>
  <c r="N20" i="16"/>
  <c r="M20" i="16"/>
  <c r="AL18" i="18"/>
  <c r="F5" i="18"/>
  <c r="H20" i="17"/>
  <c r="AL18" i="19"/>
  <c r="N20" i="18"/>
  <c r="M20" i="18"/>
  <c r="W4" i="18"/>
  <c r="H20" i="18" s="1"/>
  <c r="V4" i="18"/>
  <c r="I20" i="18" s="1"/>
  <c r="AB19" i="18"/>
  <c r="AC19" i="18" s="1"/>
  <c r="Z19" i="18"/>
  <c r="AA19" i="18" s="1"/>
  <c r="O20" i="19"/>
  <c r="P20" i="19" s="1"/>
  <c r="R20" i="19" s="1"/>
  <c r="U20" i="19" s="1"/>
  <c r="W20" i="19"/>
  <c r="N20" i="17"/>
  <c r="M20" i="17"/>
  <c r="Q20" i="17" s="1"/>
  <c r="X19" i="19"/>
  <c r="Y19" i="19" s="1"/>
  <c r="K19" i="18"/>
  <c r="S19" i="18" s="1"/>
  <c r="J19" i="18"/>
  <c r="L20" i="18"/>
  <c r="F5" i="17"/>
  <c r="AD19" i="17"/>
  <c r="AE19" i="17" s="1"/>
  <c r="K19" i="7"/>
  <c r="S19" i="7" s="1"/>
  <c r="J19" i="7"/>
  <c r="T19" i="7" s="1"/>
  <c r="V19" i="7" s="1"/>
  <c r="H20" i="7"/>
  <c r="I21" i="11"/>
  <c r="T19" i="15"/>
  <c r="V19" i="15" s="1"/>
  <c r="X19" i="15"/>
  <c r="Y19" i="15" s="1"/>
  <c r="H20" i="10"/>
  <c r="V4" i="7"/>
  <c r="I20" i="7" s="1"/>
  <c r="O20" i="15"/>
  <c r="P20" i="15" s="1"/>
  <c r="W20" i="15"/>
  <c r="G5" i="15"/>
  <c r="E5" i="15"/>
  <c r="F21" i="15"/>
  <c r="AL18" i="7"/>
  <c r="AL18" i="10"/>
  <c r="Z19" i="7"/>
  <c r="AA19" i="7" s="1"/>
  <c r="AB19" i="7"/>
  <c r="AC19" i="7" s="1"/>
  <c r="V4" i="10"/>
  <c r="I20" i="10" s="1"/>
  <c r="O20" i="7"/>
  <c r="P20" i="7" s="1"/>
  <c r="W20" i="7"/>
  <c r="G5" i="7"/>
  <c r="F21" i="7"/>
  <c r="E5" i="7"/>
  <c r="Q20" i="12"/>
  <c r="R20" i="12"/>
  <c r="U20" i="12" s="1"/>
  <c r="Z19" i="10"/>
  <c r="AA19" i="10" s="1"/>
  <c r="AB19" i="10"/>
  <c r="AC19" i="10" s="1"/>
  <c r="D21" i="10"/>
  <c r="F5" i="10"/>
  <c r="L20" i="10"/>
  <c r="J19" i="10"/>
  <c r="K19" i="10"/>
  <c r="S19" i="10" s="1"/>
  <c r="N20" i="10"/>
  <c r="M20" i="10"/>
  <c r="H5" i="12"/>
  <c r="W5" i="12" s="1"/>
  <c r="Y5" i="12"/>
  <c r="E21" i="12"/>
  <c r="J5" i="12"/>
  <c r="X5" i="12"/>
  <c r="I5" i="12"/>
  <c r="D14" i="4"/>
  <c r="F2" i="2"/>
  <c r="F2" i="13"/>
  <c r="O20" i="14"/>
  <c r="P20" i="14" s="1"/>
  <c r="W20" i="14"/>
  <c r="F21" i="14"/>
  <c r="G5" i="14"/>
  <c r="E5" i="14"/>
  <c r="L21" i="11"/>
  <c r="K20" i="11"/>
  <c r="S20" i="11" s="1"/>
  <c r="J20" i="11"/>
  <c r="X19" i="14"/>
  <c r="Y19" i="14" s="1"/>
  <c r="T19" i="14"/>
  <c r="V19" i="14" s="1"/>
  <c r="E14" i="2"/>
  <c r="E29" i="2"/>
  <c r="J29" i="2" s="1"/>
  <c r="J13" i="2"/>
  <c r="I13" i="2"/>
  <c r="N21" i="11"/>
  <c r="M21" i="11"/>
  <c r="F6" i="11"/>
  <c r="AF19" i="12"/>
  <c r="AG19" i="12" s="1"/>
  <c r="AD19" i="12"/>
  <c r="AE19" i="12" s="1"/>
  <c r="W5" i="11"/>
  <c r="H21" i="11" s="1"/>
  <c r="D6" i="12"/>
  <c r="D22" i="12" s="1"/>
  <c r="G21" i="12"/>
  <c r="C27" i="4"/>
  <c r="D25" i="4"/>
  <c r="AH19" i="17"/>
  <c r="AI19" i="11"/>
  <c r="AH19" i="12"/>
  <c r="AI19" i="19"/>
  <c r="AI19" i="28"/>
  <c r="AI19" i="23"/>
  <c r="AI19" i="12"/>
  <c r="AH19" i="28"/>
  <c r="AH19" i="11"/>
  <c r="I5" i="27" l="1"/>
  <c r="J5" i="27"/>
  <c r="Y5" i="27"/>
  <c r="H5" i="27"/>
  <c r="V5" i="27" s="1"/>
  <c r="I21" i="27" s="1"/>
  <c r="E21" i="27"/>
  <c r="L21" i="27" s="1"/>
  <c r="J20" i="28"/>
  <c r="T20" i="28" s="1"/>
  <c r="V20" i="28" s="1"/>
  <c r="L21" i="28"/>
  <c r="I21" i="28"/>
  <c r="H21" i="28"/>
  <c r="G21" i="27"/>
  <c r="AL19" i="28"/>
  <c r="E6" i="28"/>
  <c r="G6" i="28"/>
  <c r="F22" i="28"/>
  <c r="AB20" i="28"/>
  <c r="AC20" i="28" s="1"/>
  <c r="Z20" i="28"/>
  <c r="AA20" i="28" s="1"/>
  <c r="W21" i="28"/>
  <c r="O21" i="28"/>
  <c r="P21" i="28" s="1"/>
  <c r="AB20" i="26"/>
  <c r="AC20" i="26" s="1"/>
  <c r="AB20" i="11"/>
  <c r="AC20" i="11" s="1"/>
  <c r="Z20" i="23"/>
  <c r="AA20" i="23" s="1"/>
  <c r="R20" i="23"/>
  <c r="U20" i="23" s="1"/>
  <c r="R20" i="21"/>
  <c r="U20" i="21" s="1"/>
  <c r="Z20" i="21"/>
  <c r="AA20" i="21" s="1"/>
  <c r="AB20" i="21"/>
  <c r="AC20" i="21" s="1"/>
  <c r="AB20" i="27"/>
  <c r="AC20" i="27" s="1"/>
  <c r="Z20" i="27"/>
  <c r="AA20" i="27" s="1"/>
  <c r="I5" i="23"/>
  <c r="J5" i="23"/>
  <c r="E21" i="23"/>
  <c r="H5" i="23"/>
  <c r="W5" i="23" s="1"/>
  <c r="Y5" i="23"/>
  <c r="X5" i="23"/>
  <c r="X19" i="22"/>
  <c r="Y19" i="22" s="1"/>
  <c r="T19" i="22"/>
  <c r="V19" i="22" s="1"/>
  <c r="AF19" i="22" s="1"/>
  <c r="AG19" i="22" s="1"/>
  <c r="J2" i="25"/>
  <c r="I2" i="25"/>
  <c r="Y2" i="25"/>
  <c r="E18" i="25"/>
  <c r="H2" i="25"/>
  <c r="W2" i="25" s="1"/>
  <c r="X2" i="25"/>
  <c r="E21" i="26"/>
  <c r="I5" i="26"/>
  <c r="Y5" i="26"/>
  <c r="X5" i="26"/>
  <c r="J5" i="26"/>
  <c r="H5" i="26"/>
  <c r="O20" i="24"/>
  <c r="P20" i="24" s="1"/>
  <c r="Q20" i="24" s="1"/>
  <c r="Z20" i="24" s="1"/>
  <c r="AA20" i="24" s="1"/>
  <c r="W20" i="24"/>
  <c r="Y5" i="21"/>
  <c r="H5" i="21"/>
  <c r="V5" i="21" s="1"/>
  <c r="I5" i="21"/>
  <c r="E21" i="21"/>
  <c r="J5" i="21"/>
  <c r="X5" i="21"/>
  <c r="D6" i="21"/>
  <c r="D22" i="21" s="1"/>
  <c r="G21" i="21"/>
  <c r="G18" i="25"/>
  <c r="D3" i="25"/>
  <c r="D19" i="25" s="1"/>
  <c r="E5" i="22"/>
  <c r="G5" i="22"/>
  <c r="F21" i="22"/>
  <c r="D22" i="27"/>
  <c r="F6" i="27"/>
  <c r="R20" i="26"/>
  <c r="U20" i="26" s="1"/>
  <c r="AF19" i="21"/>
  <c r="AG19" i="21" s="1"/>
  <c r="AD19" i="21"/>
  <c r="AE19" i="21" s="1"/>
  <c r="AD19" i="26"/>
  <c r="AE19" i="26" s="1"/>
  <c r="AF19" i="26"/>
  <c r="AG19" i="26" s="1"/>
  <c r="N21" i="27"/>
  <c r="M21" i="27"/>
  <c r="AD19" i="27"/>
  <c r="AE19" i="27" s="1"/>
  <c r="AF19" i="27"/>
  <c r="AG19" i="27" s="1"/>
  <c r="D6" i="23"/>
  <c r="D22" i="23" s="1"/>
  <c r="G21" i="23"/>
  <c r="F21" i="24"/>
  <c r="G5" i="24"/>
  <c r="E5" i="24"/>
  <c r="O20" i="22"/>
  <c r="P20" i="22" s="1"/>
  <c r="W20" i="22"/>
  <c r="R20" i="27"/>
  <c r="U20" i="27" s="1"/>
  <c r="T19" i="24"/>
  <c r="V19" i="24" s="1"/>
  <c r="X19" i="24"/>
  <c r="Y19" i="24" s="1"/>
  <c r="G21" i="26"/>
  <c r="D6" i="26"/>
  <c r="AD19" i="23"/>
  <c r="AE19" i="23" s="1"/>
  <c r="F21" i="19"/>
  <c r="E5" i="19"/>
  <c r="H5" i="19" s="1"/>
  <c r="W5" i="19" s="1"/>
  <c r="AL19" i="11"/>
  <c r="AD19" i="19"/>
  <c r="AE19" i="19" s="1"/>
  <c r="O20" i="16"/>
  <c r="P20" i="16" s="1"/>
  <c r="Q20" i="16" s="1"/>
  <c r="AB20" i="16" s="1"/>
  <c r="AC20" i="16" s="1"/>
  <c r="W20" i="16"/>
  <c r="F21" i="16"/>
  <c r="G5" i="16"/>
  <c r="E5" i="16"/>
  <c r="T19" i="16"/>
  <c r="V19" i="16" s="1"/>
  <c r="X19" i="16"/>
  <c r="Y19" i="16" s="1"/>
  <c r="R20" i="17"/>
  <c r="U20" i="17" s="1"/>
  <c r="F21" i="18"/>
  <c r="G5" i="18"/>
  <c r="E5" i="18"/>
  <c r="G5" i="17"/>
  <c r="E5" i="17"/>
  <c r="W5" i="17" s="1"/>
  <c r="F21" i="17"/>
  <c r="Q20" i="19"/>
  <c r="W20" i="18"/>
  <c r="O20" i="18"/>
  <c r="P20" i="18" s="1"/>
  <c r="Q20" i="18" s="1"/>
  <c r="Z20" i="18" s="1"/>
  <c r="AA20" i="18" s="1"/>
  <c r="D6" i="19"/>
  <c r="D22" i="19" s="1"/>
  <c r="G21" i="19"/>
  <c r="O20" i="17"/>
  <c r="P20" i="17" s="1"/>
  <c r="W20" i="17"/>
  <c r="T19" i="18"/>
  <c r="V19" i="18" s="1"/>
  <c r="X19" i="18"/>
  <c r="Y19" i="18" s="1"/>
  <c r="X19" i="7"/>
  <c r="Y19" i="7" s="1"/>
  <c r="AD19" i="7" s="1"/>
  <c r="AE19" i="7" s="1"/>
  <c r="AL19" i="17"/>
  <c r="K20" i="17"/>
  <c r="S20" i="17" s="1"/>
  <c r="J20" i="17"/>
  <c r="AB20" i="17"/>
  <c r="AC20" i="17" s="1"/>
  <c r="Z20" i="17"/>
  <c r="AA20" i="17" s="1"/>
  <c r="H5" i="15"/>
  <c r="V5" i="15" s="1"/>
  <c r="E21" i="15"/>
  <c r="Y5" i="15"/>
  <c r="X5" i="15"/>
  <c r="I5" i="15"/>
  <c r="J5" i="15"/>
  <c r="Q20" i="15"/>
  <c r="R20" i="15"/>
  <c r="U20" i="15" s="1"/>
  <c r="G21" i="15"/>
  <c r="D6" i="15"/>
  <c r="D22" i="15" s="1"/>
  <c r="AF19" i="15"/>
  <c r="AG19" i="15" s="1"/>
  <c r="AD19" i="15"/>
  <c r="AE19" i="15" s="1"/>
  <c r="H21" i="12"/>
  <c r="V5" i="12"/>
  <c r="I21" i="12" s="1"/>
  <c r="G21" i="7"/>
  <c r="D6" i="7"/>
  <c r="D22" i="7" s="1"/>
  <c r="R20" i="7"/>
  <c r="U20" i="7" s="1"/>
  <c r="Q20" i="7"/>
  <c r="AF19" i="7"/>
  <c r="AG19" i="7" s="1"/>
  <c r="I5" i="7"/>
  <c r="X5" i="7"/>
  <c r="E21" i="7"/>
  <c r="H5" i="7"/>
  <c r="W5" i="7" s="1"/>
  <c r="Y5" i="7"/>
  <c r="J5" i="7"/>
  <c r="W20" i="10"/>
  <c r="O20" i="10"/>
  <c r="P20" i="10" s="1"/>
  <c r="Q20" i="10" s="1"/>
  <c r="T19" i="10"/>
  <c r="V19" i="10" s="1"/>
  <c r="X19" i="10"/>
  <c r="Y19" i="10" s="1"/>
  <c r="G5" i="10"/>
  <c r="F21" i="10"/>
  <c r="E5" i="10"/>
  <c r="AB20" i="12"/>
  <c r="AC20" i="12" s="1"/>
  <c r="Z20" i="12"/>
  <c r="AA20" i="12" s="1"/>
  <c r="Q20" i="14"/>
  <c r="AB20" i="14" s="1"/>
  <c r="AC20" i="14" s="1"/>
  <c r="R20" i="14"/>
  <c r="U20" i="14" s="1"/>
  <c r="AL19" i="12"/>
  <c r="J5" i="14"/>
  <c r="I5" i="14"/>
  <c r="Y5" i="14"/>
  <c r="X5" i="14"/>
  <c r="E21" i="14"/>
  <c r="H5" i="14"/>
  <c r="V5" i="14" s="1"/>
  <c r="F22" i="11"/>
  <c r="G6" i="11"/>
  <c r="E6" i="11"/>
  <c r="D6" i="14"/>
  <c r="D22" i="14" s="1"/>
  <c r="G21" i="14"/>
  <c r="G2" i="13"/>
  <c r="E2" i="13"/>
  <c r="F18" i="13"/>
  <c r="AD19" i="14"/>
  <c r="AE19" i="14" s="1"/>
  <c r="AF19" i="14"/>
  <c r="AG19" i="14" s="1"/>
  <c r="L21" i="12"/>
  <c r="J20" i="12"/>
  <c r="K20" i="12"/>
  <c r="S20" i="12" s="1"/>
  <c r="G2" i="2"/>
  <c r="F18" i="2"/>
  <c r="O21" i="11"/>
  <c r="P21" i="11" s="1"/>
  <c r="W21" i="11"/>
  <c r="X20" i="11"/>
  <c r="Y20" i="11" s="1"/>
  <c r="T20" i="11"/>
  <c r="V20" i="11" s="1"/>
  <c r="AF20" i="11" s="1"/>
  <c r="AG20" i="11" s="1"/>
  <c r="C28" i="4"/>
  <c r="D27" i="4" s="1"/>
  <c r="D26" i="4"/>
  <c r="N21" i="12"/>
  <c r="M21" i="12"/>
  <c r="F6" i="12"/>
  <c r="J14" i="2"/>
  <c r="E30" i="2"/>
  <c r="J30" i="2" s="1"/>
  <c r="I14" i="2"/>
  <c r="AI19" i="22"/>
  <c r="AI19" i="14"/>
  <c r="AH19" i="26"/>
  <c r="AI19" i="26"/>
  <c r="AH19" i="14"/>
  <c r="AI19" i="15"/>
  <c r="AI19" i="7"/>
  <c r="AH19" i="21"/>
  <c r="AH19" i="23"/>
  <c r="AH19" i="7"/>
  <c r="AI19" i="21"/>
  <c r="AH19" i="15"/>
  <c r="AH19" i="27"/>
  <c r="AH19" i="19"/>
  <c r="AI20" i="11"/>
  <c r="AI19" i="27"/>
  <c r="X20" i="28" l="1"/>
  <c r="Y20" i="28" s="1"/>
  <c r="J20" i="27"/>
  <c r="T20" i="27" s="1"/>
  <c r="W5" i="27"/>
  <c r="H21" i="27" s="1"/>
  <c r="K20" i="27"/>
  <c r="S20" i="27" s="1"/>
  <c r="AD20" i="28"/>
  <c r="AE20" i="28" s="1"/>
  <c r="H18" i="25"/>
  <c r="R21" i="28"/>
  <c r="U21" i="28" s="1"/>
  <c r="Q21" i="28"/>
  <c r="AF20" i="28"/>
  <c r="AG20" i="28" s="1"/>
  <c r="D7" i="28"/>
  <c r="D23" i="28" s="1"/>
  <c r="G22" i="28"/>
  <c r="E22" i="28"/>
  <c r="X6" i="28"/>
  <c r="H6" i="28"/>
  <c r="V6" i="28" s="1"/>
  <c r="I6" i="28"/>
  <c r="Y6" i="28"/>
  <c r="R20" i="24"/>
  <c r="U20" i="24" s="1"/>
  <c r="I21" i="21"/>
  <c r="W5" i="21"/>
  <c r="H21" i="21" s="1"/>
  <c r="Y5" i="19"/>
  <c r="X5" i="19"/>
  <c r="F6" i="21"/>
  <c r="F22" i="21" s="1"/>
  <c r="J5" i="19"/>
  <c r="AL19" i="23"/>
  <c r="AL19" i="21"/>
  <c r="AL19" i="27"/>
  <c r="AL19" i="26"/>
  <c r="K20" i="26"/>
  <c r="S20" i="26" s="1"/>
  <c r="J20" i="26"/>
  <c r="L21" i="26"/>
  <c r="F6" i="23"/>
  <c r="F22" i="27"/>
  <c r="G6" i="27"/>
  <c r="E6" i="27"/>
  <c r="AB20" i="24"/>
  <c r="AC20" i="24" s="1"/>
  <c r="V2" i="25"/>
  <c r="I18" i="25" s="1"/>
  <c r="H5" i="24"/>
  <c r="W5" i="24" s="1"/>
  <c r="J5" i="24"/>
  <c r="I5" i="24"/>
  <c r="Y5" i="24"/>
  <c r="E21" i="24"/>
  <c r="X5" i="24"/>
  <c r="M21" i="23"/>
  <c r="N21" i="23"/>
  <c r="V5" i="23"/>
  <c r="I21" i="23" s="1"/>
  <c r="X20" i="27"/>
  <c r="Y20" i="27" s="1"/>
  <c r="N21" i="26"/>
  <c r="M21" i="26"/>
  <c r="K20" i="21"/>
  <c r="S20" i="21" s="1"/>
  <c r="L21" i="21"/>
  <c r="J20" i="21"/>
  <c r="E21" i="22"/>
  <c r="I5" i="22"/>
  <c r="Y5" i="22"/>
  <c r="X5" i="22"/>
  <c r="J5" i="22"/>
  <c r="H5" i="22"/>
  <c r="H21" i="23"/>
  <c r="I5" i="19"/>
  <c r="AF19" i="24"/>
  <c r="AG19" i="24" s="1"/>
  <c r="AD19" i="24"/>
  <c r="AE19" i="24" s="1"/>
  <c r="O21" i="27"/>
  <c r="P21" i="27" s="1"/>
  <c r="Q21" i="27" s="1"/>
  <c r="Z21" i="27" s="1"/>
  <c r="AA21" i="27" s="1"/>
  <c r="W21" i="27"/>
  <c r="F3" i="25"/>
  <c r="K20" i="23"/>
  <c r="S20" i="23" s="1"/>
  <c r="J20" i="23"/>
  <c r="L21" i="23"/>
  <c r="AD19" i="22"/>
  <c r="AE19" i="22" s="1"/>
  <c r="L18" i="25"/>
  <c r="V5" i="26"/>
  <c r="I21" i="26" s="1"/>
  <c r="W5" i="26"/>
  <c r="H21" i="26" s="1"/>
  <c r="G21" i="24"/>
  <c r="D6" i="24"/>
  <c r="D22" i="24" s="1"/>
  <c r="D22" i="26"/>
  <c r="F6" i="26"/>
  <c r="D6" i="22"/>
  <c r="D22" i="22" s="1"/>
  <c r="G21" i="22"/>
  <c r="N18" i="25"/>
  <c r="M18" i="25"/>
  <c r="V20" i="27"/>
  <c r="Q20" i="22"/>
  <c r="R20" i="22"/>
  <c r="U20" i="22" s="1"/>
  <c r="N21" i="21"/>
  <c r="M21" i="21"/>
  <c r="E21" i="19"/>
  <c r="K20" i="19" s="1"/>
  <c r="S20" i="19" s="1"/>
  <c r="Z20" i="16"/>
  <c r="AA20" i="16" s="1"/>
  <c r="AL19" i="19"/>
  <c r="AF19" i="16"/>
  <c r="AG19" i="16" s="1"/>
  <c r="AD19" i="16"/>
  <c r="AE19" i="16" s="1"/>
  <c r="V5" i="19"/>
  <c r="I5" i="16"/>
  <c r="H5" i="16"/>
  <c r="J5" i="16"/>
  <c r="Y5" i="16"/>
  <c r="E21" i="16"/>
  <c r="X5" i="16"/>
  <c r="F6" i="19"/>
  <c r="F22" i="19" s="1"/>
  <c r="D6" i="16"/>
  <c r="G21" i="16"/>
  <c r="R20" i="16"/>
  <c r="U20" i="16" s="1"/>
  <c r="R20" i="18"/>
  <c r="U20" i="18" s="1"/>
  <c r="AB20" i="18"/>
  <c r="AC20" i="18" s="1"/>
  <c r="H21" i="19"/>
  <c r="J5" i="18"/>
  <c r="Y5" i="18"/>
  <c r="H5" i="18"/>
  <c r="I5" i="18"/>
  <c r="E21" i="18"/>
  <c r="X5" i="18"/>
  <c r="D6" i="18"/>
  <c r="G21" i="18"/>
  <c r="AD19" i="18"/>
  <c r="AE19" i="18" s="1"/>
  <c r="N21" i="19"/>
  <c r="M21" i="19"/>
  <c r="Z20" i="19"/>
  <c r="AA20" i="19" s="1"/>
  <c r="AB20" i="19"/>
  <c r="AC20" i="19" s="1"/>
  <c r="I5" i="17"/>
  <c r="Y5" i="17"/>
  <c r="H21" i="17" s="1"/>
  <c r="H5" i="17"/>
  <c r="V5" i="17" s="1"/>
  <c r="J5" i="17"/>
  <c r="E21" i="17"/>
  <c r="L21" i="17" s="1"/>
  <c r="X5" i="17"/>
  <c r="AF19" i="18"/>
  <c r="AG19" i="18" s="1"/>
  <c r="G21" i="17"/>
  <c r="D6" i="17"/>
  <c r="D22" i="17" s="1"/>
  <c r="I21" i="14"/>
  <c r="T20" i="17"/>
  <c r="V20" i="17" s="1"/>
  <c r="X20" i="17"/>
  <c r="Y20" i="17" s="1"/>
  <c r="R20" i="10"/>
  <c r="U20" i="10" s="1"/>
  <c r="W5" i="15"/>
  <c r="H21" i="15" s="1"/>
  <c r="AL19" i="15"/>
  <c r="M21" i="15"/>
  <c r="N21" i="15"/>
  <c r="AB20" i="15"/>
  <c r="AC20" i="15" s="1"/>
  <c r="Z20" i="15"/>
  <c r="AA20" i="15" s="1"/>
  <c r="J20" i="15"/>
  <c r="L21" i="15"/>
  <c r="K20" i="15"/>
  <c r="S20" i="15" s="1"/>
  <c r="I21" i="15"/>
  <c r="F6" i="15"/>
  <c r="V5" i="7"/>
  <c r="I21" i="7" s="1"/>
  <c r="F6" i="7"/>
  <c r="G6" i="7" s="1"/>
  <c r="AL19" i="7"/>
  <c r="H21" i="7"/>
  <c r="N21" i="7"/>
  <c r="M21" i="7"/>
  <c r="Z20" i="7"/>
  <c r="AA20" i="7" s="1"/>
  <c r="AB20" i="7"/>
  <c r="AC20" i="7" s="1"/>
  <c r="L21" i="7"/>
  <c r="J20" i="7"/>
  <c r="K20" i="7"/>
  <c r="S20" i="7" s="1"/>
  <c r="Z20" i="10"/>
  <c r="AA20" i="10" s="1"/>
  <c r="AB20" i="10"/>
  <c r="AC20" i="10" s="1"/>
  <c r="G21" i="10"/>
  <c r="D6" i="10"/>
  <c r="Z20" i="14"/>
  <c r="AA20" i="14" s="1"/>
  <c r="I5" i="10"/>
  <c r="J5" i="10"/>
  <c r="X5" i="10"/>
  <c r="E21" i="10"/>
  <c r="H5" i="10"/>
  <c r="Y5" i="10"/>
  <c r="AD19" i="10"/>
  <c r="AE19" i="10" s="1"/>
  <c r="AF19" i="10"/>
  <c r="AG19" i="10" s="1"/>
  <c r="W5" i="14"/>
  <c r="H21" i="14" s="1"/>
  <c r="AL19" i="14"/>
  <c r="Q21" i="11"/>
  <c r="R21" i="11"/>
  <c r="U21" i="11" s="1"/>
  <c r="Y2" i="13"/>
  <c r="H2" i="13"/>
  <c r="W2" i="13" s="1"/>
  <c r="I2" i="13"/>
  <c r="X2" i="13"/>
  <c r="J2" i="13"/>
  <c r="E18" i="13"/>
  <c r="D3" i="13"/>
  <c r="D19" i="13" s="1"/>
  <c r="G18" i="13"/>
  <c r="L21" i="14"/>
  <c r="J20" i="14"/>
  <c r="K20" i="14"/>
  <c r="S20" i="14" s="1"/>
  <c r="D3" i="2"/>
  <c r="D19" i="2" s="1"/>
  <c r="G18" i="2"/>
  <c r="H2" i="2"/>
  <c r="U2" i="2" s="1"/>
  <c r="I18" i="2" s="1"/>
  <c r="AD20" i="11"/>
  <c r="AE20" i="11" s="1"/>
  <c r="T20" i="12"/>
  <c r="V20" i="12" s="1"/>
  <c r="X20" i="12"/>
  <c r="Y20" i="12" s="1"/>
  <c r="F6" i="14"/>
  <c r="G22" i="11"/>
  <c r="D7" i="11"/>
  <c r="D23" i="11" s="1"/>
  <c r="M21" i="14"/>
  <c r="N21" i="14"/>
  <c r="Y6" i="11"/>
  <c r="X6" i="11"/>
  <c r="E22" i="11"/>
  <c r="H6" i="11"/>
  <c r="V6" i="11" s="1"/>
  <c r="J6" i="11"/>
  <c r="I6" i="11"/>
  <c r="F22" i="12"/>
  <c r="E6" i="12"/>
  <c r="G6" i="12"/>
  <c r="O21" i="12"/>
  <c r="P21" i="12" s="1"/>
  <c r="Q21" i="12" s="1"/>
  <c r="W21" i="12"/>
  <c r="AI20" i="28"/>
  <c r="AI19" i="18"/>
  <c r="AH19" i="18"/>
  <c r="AI19" i="24"/>
  <c r="AH20" i="28"/>
  <c r="AH19" i="22"/>
  <c r="AI19" i="16"/>
  <c r="AH19" i="10"/>
  <c r="AH19" i="24"/>
  <c r="AH19" i="16"/>
  <c r="AI19" i="10"/>
  <c r="AH20" i="11"/>
  <c r="G6" i="21" l="1"/>
  <c r="G22" i="21" s="1"/>
  <c r="I21" i="19"/>
  <c r="I22" i="28"/>
  <c r="AL20" i="28"/>
  <c r="W6" i="28"/>
  <c r="H22" i="28" s="1"/>
  <c r="L22" i="28"/>
  <c r="M22" i="28"/>
  <c r="N22" i="28"/>
  <c r="F7" i="28"/>
  <c r="AB21" i="28"/>
  <c r="AC21" i="28" s="1"/>
  <c r="Z21" i="28"/>
  <c r="AA21" i="28" s="1"/>
  <c r="AB21" i="27"/>
  <c r="AC21" i="27" s="1"/>
  <c r="L21" i="19"/>
  <c r="E6" i="21"/>
  <c r="J6" i="21" s="1"/>
  <c r="R21" i="27"/>
  <c r="U21" i="27" s="1"/>
  <c r="AL19" i="24"/>
  <c r="AL19" i="22"/>
  <c r="Z20" i="22"/>
  <c r="AA20" i="22" s="1"/>
  <c r="AB20" i="22"/>
  <c r="AC20" i="22" s="1"/>
  <c r="T20" i="26"/>
  <c r="V20" i="26" s="1"/>
  <c r="X20" i="26"/>
  <c r="Y20" i="26" s="1"/>
  <c r="J20" i="19"/>
  <c r="X20" i="19" s="1"/>
  <c r="Y20" i="19" s="1"/>
  <c r="AF20" i="27"/>
  <c r="AG20" i="27" s="1"/>
  <c r="AD20" i="27"/>
  <c r="AE20" i="27" s="1"/>
  <c r="W18" i="25"/>
  <c r="O18" i="25"/>
  <c r="P18" i="25" s="1"/>
  <c r="R18" i="25" s="1"/>
  <c r="U18" i="25" s="1"/>
  <c r="O21" i="26"/>
  <c r="P21" i="26" s="1"/>
  <c r="W21" i="26"/>
  <c r="T20" i="21"/>
  <c r="V20" i="21" s="1"/>
  <c r="X20" i="21"/>
  <c r="Y20" i="21" s="1"/>
  <c r="L21" i="24"/>
  <c r="K20" i="24"/>
  <c r="S20" i="24" s="1"/>
  <c r="J20" i="24"/>
  <c r="V5" i="22"/>
  <c r="I21" i="22" s="1"/>
  <c r="W5" i="22"/>
  <c r="H21" i="22" s="1"/>
  <c r="H21" i="24"/>
  <c r="D7" i="21"/>
  <c r="D23" i="21" s="1"/>
  <c r="F6" i="22"/>
  <c r="E6" i="26"/>
  <c r="F22" i="26"/>
  <c r="G6" i="26"/>
  <c r="T20" i="23"/>
  <c r="V20" i="23" s="1"/>
  <c r="X20" i="23"/>
  <c r="Y20" i="23" s="1"/>
  <c r="W6" i="27"/>
  <c r="H22" i="27" s="1"/>
  <c r="V6" i="27"/>
  <c r="I22" i="27" s="1"/>
  <c r="H6" i="27"/>
  <c r="J6" i="27"/>
  <c r="E22" i="27"/>
  <c r="I6" i="27"/>
  <c r="W21" i="23"/>
  <c r="O21" i="23"/>
  <c r="P21" i="23" s="1"/>
  <c r="Q21" i="23" s="1"/>
  <c r="D7" i="27"/>
  <c r="G22" i="27"/>
  <c r="W21" i="21"/>
  <c r="O21" i="21"/>
  <c r="P21" i="21" s="1"/>
  <c r="Q21" i="21" s="1"/>
  <c r="Z21" i="21" s="1"/>
  <c r="AA21" i="21" s="1"/>
  <c r="F6" i="24"/>
  <c r="G3" i="25"/>
  <c r="E3" i="25"/>
  <c r="F19" i="25"/>
  <c r="L21" i="22"/>
  <c r="J20" i="22"/>
  <c r="K20" i="22"/>
  <c r="S20" i="22" s="1"/>
  <c r="N21" i="22"/>
  <c r="M21" i="22"/>
  <c r="V5" i="24"/>
  <c r="I21" i="24" s="1"/>
  <c r="F22" i="23"/>
  <c r="G6" i="23"/>
  <c r="E6" i="23"/>
  <c r="N21" i="24"/>
  <c r="M21" i="24"/>
  <c r="AL19" i="16"/>
  <c r="G6" i="19"/>
  <c r="G22" i="19" s="1"/>
  <c r="N22" i="19" s="1"/>
  <c r="N21" i="16"/>
  <c r="M21" i="16"/>
  <c r="J20" i="16"/>
  <c r="K20" i="16"/>
  <c r="S20" i="16" s="1"/>
  <c r="L21" i="16"/>
  <c r="W5" i="16"/>
  <c r="H21" i="16" s="1"/>
  <c r="V5" i="16"/>
  <c r="I21" i="16" s="1"/>
  <c r="D22" i="16"/>
  <c r="F6" i="16"/>
  <c r="E6" i="19"/>
  <c r="X6" i="19" s="1"/>
  <c r="D22" i="18"/>
  <c r="F6" i="18"/>
  <c r="I21" i="17"/>
  <c r="L21" i="18"/>
  <c r="J20" i="18"/>
  <c r="K20" i="18"/>
  <c r="S20" i="18" s="1"/>
  <c r="M21" i="18"/>
  <c r="N21" i="18"/>
  <c r="V5" i="18"/>
  <c r="I21" i="18" s="1"/>
  <c r="W5" i="18"/>
  <c r="H21" i="18" s="1"/>
  <c r="AL19" i="18"/>
  <c r="W21" i="19"/>
  <c r="O21" i="19"/>
  <c r="P21" i="19" s="1"/>
  <c r="F6" i="17"/>
  <c r="N21" i="17"/>
  <c r="M21" i="17"/>
  <c r="R21" i="17" s="1"/>
  <c r="U21" i="17" s="1"/>
  <c r="AD20" i="17"/>
  <c r="AE20" i="17" s="1"/>
  <c r="AF20" i="17"/>
  <c r="AG20" i="17" s="1"/>
  <c r="F22" i="7"/>
  <c r="E6" i="7"/>
  <c r="H6" i="7" s="1"/>
  <c r="V6" i="7" s="1"/>
  <c r="I22" i="11"/>
  <c r="F22" i="15"/>
  <c r="G6" i="15"/>
  <c r="E6" i="15"/>
  <c r="T20" i="15"/>
  <c r="V20" i="15" s="1"/>
  <c r="AF20" i="15" s="1"/>
  <c r="AG20" i="15" s="1"/>
  <c r="X20" i="15"/>
  <c r="Y20" i="15" s="1"/>
  <c r="W21" i="15"/>
  <c r="O21" i="15"/>
  <c r="P21" i="15" s="1"/>
  <c r="Q21" i="15" s="1"/>
  <c r="H18" i="13"/>
  <c r="O21" i="7"/>
  <c r="P21" i="7" s="1"/>
  <c r="Q21" i="7" s="1"/>
  <c r="W21" i="7"/>
  <c r="W6" i="11"/>
  <c r="H22" i="11" s="1"/>
  <c r="V2" i="13"/>
  <c r="I18" i="13" s="1"/>
  <c r="G22" i="7"/>
  <c r="D7" i="7"/>
  <c r="D23" i="7" s="1"/>
  <c r="T20" i="7"/>
  <c r="V20" i="7" s="1"/>
  <c r="AF20" i="7" s="1"/>
  <c r="AG20" i="7" s="1"/>
  <c r="X20" i="7"/>
  <c r="Y20" i="7" s="1"/>
  <c r="AL19" i="10"/>
  <c r="V5" i="10"/>
  <c r="I21" i="10" s="1"/>
  <c r="W5" i="10"/>
  <c r="H21" i="10" s="1"/>
  <c r="K20" i="10"/>
  <c r="S20" i="10" s="1"/>
  <c r="J20" i="10"/>
  <c r="L21" i="10"/>
  <c r="D22" i="10"/>
  <c r="F6" i="10"/>
  <c r="M21" i="10"/>
  <c r="N21" i="10"/>
  <c r="F3" i="2"/>
  <c r="G3" i="2" s="1"/>
  <c r="AL20" i="11"/>
  <c r="Z21" i="12"/>
  <c r="AA21" i="12" s="1"/>
  <c r="AB21" i="12"/>
  <c r="AC21" i="12" s="1"/>
  <c r="W6" i="12"/>
  <c r="H22" i="12" s="1"/>
  <c r="E22" i="12"/>
  <c r="H6" i="12"/>
  <c r="J6" i="12"/>
  <c r="V6" i="12"/>
  <c r="I22" i="12" s="1"/>
  <c r="I6" i="12"/>
  <c r="L18" i="13"/>
  <c r="F22" i="14"/>
  <c r="E6" i="14"/>
  <c r="G6" i="14"/>
  <c r="K18" i="2"/>
  <c r="L18" i="2"/>
  <c r="O21" i="14"/>
  <c r="P21" i="14" s="1"/>
  <c r="W21" i="14"/>
  <c r="T20" i="14"/>
  <c r="V20" i="14" s="1"/>
  <c r="X20" i="14"/>
  <c r="Y20" i="14" s="1"/>
  <c r="L22" i="11"/>
  <c r="K21" i="11"/>
  <c r="S21" i="11" s="1"/>
  <c r="J21" i="11"/>
  <c r="AF20" i="12"/>
  <c r="AG20" i="12" s="1"/>
  <c r="AD20" i="12"/>
  <c r="AE20" i="12" s="1"/>
  <c r="Z21" i="11"/>
  <c r="AA21" i="11" s="1"/>
  <c r="AB21" i="11"/>
  <c r="AC21" i="11" s="1"/>
  <c r="F7" i="11"/>
  <c r="N18" i="13"/>
  <c r="M18" i="13"/>
  <c r="R21" i="12"/>
  <c r="U21" i="12" s="1"/>
  <c r="M22" i="11"/>
  <c r="N22" i="11"/>
  <c r="D7" i="12"/>
  <c r="D23" i="12" s="1"/>
  <c r="G22" i="12"/>
  <c r="F3" i="13"/>
  <c r="AH20" i="17"/>
  <c r="AI20" i="17"/>
  <c r="AI20" i="7"/>
  <c r="AI20" i="12"/>
  <c r="AH20" i="27"/>
  <c r="AH20" i="12"/>
  <c r="AI20" i="27"/>
  <c r="AI20" i="15"/>
  <c r="AB21" i="21" l="1"/>
  <c r="AC21" i="21" s="1"/>
  <c r="F23" i="28"/>
  <c r="G7" i="28"/>
  <c r="E7" i="28"/>
  <c r="W22" i="28"/>
  <c r="O22" i="28"/>
  <c r="P22" i="28" s="1"/>
  <c r="Y6" i="21"/>
  <c r="X6" i="21"/>
  <c r="T20" i="19"/>
  <c r="V20" i="19" s="1"/>
  <c r="AF20" i="19" s="1"/>
  <c r="AG20" i="19" s="1"/>
  <c r="E22" i="21"/>
  <c r="L22" i="21" s="1"/>
  <c r="H6" i="21"/>
  <c r="V6" i="21" s="1"/>
  <c r="I6" i="21"/>
  <c r="R21" i="23"/>
  <c r="U21" i="23" s="1"/>
  <c r="AL20" i="27"/>
  <c r="G19" i="25"/>
  <c r="D4" i="25"/>
  <c r="D20" i="25" s="1"/>
  <c r="AB21" i="23"/>
  <c r="AC21" i="23" s="1"/>
  <c r="Z21" i="23"/>
  <c r="AA21" i="23" s="1"/>
  <c r="E22" i="23"/>
  <c r="J6" i="23"/>
  <c r="X6" i="23"/>
  <c r="H6" i="23"/>
  <c r="V6" i="23" s="1"/>
  <c r="Y6" i="23"/>
  <c r="I6" i="23"/>
  <c r="E22" i="26"/>
  <c r="Y6" i="26"/>
  <c r="X6" i="26"/>
  <c r="I6" i="26"/>
  <c r="H6" i="26"/>
  <c r="V6" i="26" s="1"/>
  <c r="G22" i="23"/>
  <c r="D7" i="23"/>
  <c r="D23" i="23" s="1"/>
  <c r="G6" i="22"/>
  <c r="E6" i="22"/>
  <c r="F22" i="22"/>
  <c r="Q18" i="25"/>
  <c r="G22" i="26"/>
  <c r="E6" i="24"/>
  <c r="F22" i="24"/>
  <c r="G6" i="24"/>
  <c r="F7" i="21"/>
  <c r="AD20" i="21"/>
  <c r="AE20" i="21" s="1"/>
  <c r="AF20" i="21"/>
  <c r="AG20" i="21" s="1"/>
  <c r="O21" i="24"/>
  <c r="P21" i="24" s="1"/>
  <c r="Q21" i="24" s="1"/>
  <c r="Z21" i="24" s="1"/>
  <c r="AA21" i="24" s="1"/>
  <c r="W21" i="24"/>
  <c r="K22" i="27"/>
  <c r="L22" i="27"/>
  <c r="J22" i="27"/>
  <c r="M22" i="21"/>
  <c r="N22" i="21"/>
  <c r="AF20" i="26"/>
  <c r="AG20" i="26" s="1"/>
  <c r="AD20" i="26"/>
  <c r="AE20" i="26" s="1"/>
  <c r="T20" i="22"/>
  <c r="V20" i="22" s="1"/>
  <c r="AF20" i="22" s="1"/>
  <c r="AG20" i="22" s="1"/>
  <c r="X20" i="22"/>
  <c r="Y20" i="22" s="1"/>
  <c r="M22" i="27"/>
  <c r="N22" i="27"/>
  <c r="T20" i="24"/>
  <c r="V20" i="24" s="1"/>
  <c r="X20" i="24"/>
  <c r="Y20" i="24" s="1"/>
  <c r="E19" i="25"/>
  <c r="X3" i="25"/>
  <c r="J3" i="25"/>
  <c r="I3" i="25"/>
  <c r="Y3" i="25"/>
  <c r="H3" i="25"/>
  <c r="W3" i="25" s="1"/>
  <c r="O21" i="22"/>
  <c r="P21" i="22" s="1"/>
  <c r="R21" i="22" s="1"/>
  <c r="U21" i="22" s="1"/>
  <c r="W21" i="22"/>
  <c r="Q21" i="26"/>
  <c r="R21" i="26"/>
  <c r="U21" i="26" s="1"/>
  <c r="R21" i="21"/>
  <c r="U21" i="21" s="1"/>
  <c r="D23" i="27"/>
  <c r="F7" i="27"/>
  <c r="AD20" i="23"/>
  <c r="AE20" i="23" s="1"/>
  <c r="AF20" i="23"/>
  <c r="AG20" i="23" s="1"/>
  <c r="I22" i="21"/>
  <c r="M22" i="19"/>
  <c r="W22" i="19" s="1"/>
  <c r="H6" i="19"/>
  <c r="V6" i="19" s="1"/>
  <c r="I22" i="19" s="1"/>
  <c r="D7" i="19"/>
  <c r="D23" i="19" s="1"/>
  <c r="Y6" i="19"/>
  <c r="F22" i="16"/>
  <c r="E6" i="16"/>
  <c r="G6" i="16"/>
  <c r="E22" i="19"/>
  <c r="J21" i="19" s="1"/>
  <c r="T21" i="19" s="1"/>
  <c r="T20" i="16"/>
  <c r="V20" i="16" s="1"/>
  <c r="X20" i="16"/>
  <c r="Y20" i="16" s="1"/>
  <c r="I6" i="19"/>
  <c r="W21" i="16"/>
  <c r="O21" i="16"/>
  <c r="P21" i="16" s="1"/>
  <c r="Q21" i="16" s="1"/>
  <c r="Z21" i="16" s="1"/>
  <c r="AA21" i="16" s="1"/>
  <c r="J6" i="19"/>
  <c r="Q21" i="17"/>
  <c r="AD20" i="19"/>
  <c r="AE20" i="19" s="1"/>
  <c r="O21" i="18"/>
  <c r="P21" i="18" s="1"/>
  <c r="W21" i="18"/>
  <c r="X20" i="18"/>
  <c r="Y20" i="18" s="1"/>
  <c r="T20" i="18"/>
  <c r="V20" i="18" s="1"/>
  <c r="F22" i="18"/>
  <c r="G6" i="18"/>
  <c r="E6" i="18"/>
  <c r="O21" i="17"/>
  <c r="P21" i="17" s="1"/>
  <c r="W21" i="17"/>
  <c r="F22" i="17"/>
  <c r="G6" i="17"/>
  <c r="E6" i="17"/>
  <c r="Q21" i="19"/>
  <c r="R21" i="19"/>
  <c r="U21" i="19" s="1"/>
  <c r="Y6" i="7"/>
  <c r="X6" i="7"/>
  <c r="I22" i="7" s="1"/>
  <c r="I6" i="7"/>
  <c r="J6" i="7"/>
  <c r="E22" i="7"/>
  <c r="L22" i="7" s="1"/>
  <c r="AL20" i="17"/>
  <c r="AB21" i="17"/>
  <c r="AC21" i="17" s="1"/>
  <c r="Z21" i="17"/>
  <c r="AA21" i="17" s="1"/>
  <c r="J21" i="17"/>
  <c r="K21" i="17"/>
  <c r="S21" i="17" s="1"/>
  <c r="R21" i="7"/>
  <c r="U21" i="7" s="1"/>
  <c r="W6" i="7"/>
  <c r="AB21" i="15"/>
  <c r="AC21" i="15" s="1"/>
  <c r="Z21" i="15"/>
  <c r="AA21" i="15" s="1"/>
  <c r="F19" i="2"/>
  <c r="E22" i="15"/>
  <c r="X6" i="15"/>
  <c r="Y6" i="15"/>
  <c r="H6" i="15"/>
  <c r="W6" i="15" s="1"/>
  <c r="I6" i="15"/>
  <c r="J6" i="15"/>
  <c r="D7" i="15"/>
  <c r="G22" i="15"/>
  <c r="AD20" i="7"/>
  <c r="AE20" i="7" s="1"/>
  <c r="AD20" i="15"/>
  <c r="AE20" i="15" s="1"/>
  <c r="R21" i="15"/>
  <c r="U21" i="15" s="1"/>
  <c r="Z21" i="7"/>
  <c r="AA21" i="7" s="1"/>
  <c r="AB21" i="7"/>
  <c r="AC21" i="7" s="1"/>
  <c r="F7" i="7"/>
  <c r="N22" i="7"/>
  <c r="M22" i="7"/>
  <c r="O21" i="10"/>
  <c r="P21" i="10" s="1"/>
  <c r="R21" i="10" s="1"/>
  <c r="U21" i="10" s="1"/>
  <c r="W21" i="10"/>
  <c r="T20" i="10"/>
  <c r="V20" i="10" s="1"/>
  <c r="X20" i="10"/>
  <c r="Y20" i="10" s="1"/>
  <c r="G6" i="10"/>
  <c r="F22" i="10"/>
  <c r="E6" i="10"/>
  <c r="AL20" i="12"/>
  <c r="Q21" i="14"/>
  <c r="R21" i="14"/>
  <c r="U21" i="14" s="1"/>
  <c r="E3" i="13"/>
  <c r="F19" i="13"/>
  <c r="G3" i="13"/>
  <c r="W18" i="13"/>
  <c r="O18" i="13"/>
  <c r="P18" i="13" s="1"/>
  <c r="Q18" i="13" s="1"/>
  <c r="W22" i="11"/>
  <c r="O22" i="11"/>
  <c r="P22" i="11" s="1"/>
  <c r="J22" i="12"/>
  <c r="L22" i="12"/>
  <c r="K22" i="12"/>
  <c r="F23" i="11"/>
  <c r="G7" i="11"/>
  <c r="E7" i="11"/>
  <c r="M18" i="2"/>
  <c r="N18" i="2" s="1"/>
  <c r="U18" i="2"/>
  <c r="V18" i="2" s="1"/>
  <c r="W18" i="2" s="1"/>
  <c r="R18" i="2"/>
  <c r="Q18" i="2"/>
  <c r="G22" i="14"/>
  <c r="D7" i="14"/>
  <c r="D23" i="14" s="1"/>
  <c r="AF20" i="14"/>
  <c r="AG20" i="14" s="1"/>
  <c r="AD20" i="14"/>
  <c r="AE20" i="14" s="1"/>
  <c r="X6" i="14"/>
  <c r="E22" i="14"/>
  <c r="J6" i="14"/>
  <c r="I6" i="14"/>
  <c r="H6" i="14"/>
  <c r="W6" i="14" s="1"/>
  <c r="Y6" i="14"/>
  <c r="D4" i="2"/>
  <c r="D20" i="2" s="1"/>
  <c r="G19" i="2"/>
  <c r="H3" i="2"/>
  <c r="U3" i="2" s="1"/>
  <c r="I19" i="2" s="1"/>
  <c r="T21" i="11"/>
  <c r="V21" i="11" s="1"/>
  <c r="AF21" i="11" s="1"/>
  <c r="AG21" i="11" s="1"/>
  <c r="X21" i="11"/>
  <c r="Y21" i="11" s="1"/>
  <c r="F7" i="12"/>
  <c r="N22" i="12"/>
  <c r="M22" i="12"/>
  <c r="AI20" i="23"/>
  <c r="AH20" i="15"/>
  <c r="AI20" i="22"/>
  <c r="AI20" i="19"/>
  <c r="AH20" i="23"/>
  <c r="AI20" i="26"/>
  <c r="AH20" i="26"/>
  <c r="AH20" i="7"/>
  <c r="AI20" i="14"/>
  <c r="AH20" i="21"/>
  <c r="AH20" i="14"/>
  <c r="AH20" i="19"/>
  <c r="AI21" i="11"/>
  <c r="AI20" i="21"/>
  <c r="I22" i="23" l="1"/>
  <c r="H19" i="25"/>
  <c r="J21" i="21"/>
  <c r="T21" i="21" s="1"/>
  <c r="K21" i="21"/>
  <c r="S21" i="21" s="1"/>
  <c r="W6" i="21"/>
  <c r="H22" i="21" s="1"/>
  <c r="R22" i="28"/>
  <c r="U22" i="28" s="1"/>
  <c r="Q22" i="28"/>
  <c r="Y7" i="28"/>
  <c r="X7" i="28"/>
  <c r="H7" i="28"/>
  <c r="W7" i="28" s="1"/>
  <c r="E23" i="28"/>
  <c r="J7" i="28"/>
  <c r="I7" i="28"/>
  <c r="D8" i="28"/>
  <c r="D24" i="28" s="1"/>
  <c r="G23" i="28"/>
  <c r="R21" i="24"/>
  <c r="U21" i="24" s="1"/>
  <c r="I22" i="26"/>
  <c r="X21" i="21"/>
  <c r="Y21" i="21" s="1"/>
  <c r="W6" i="23"/>
  <c r="H22" i="23" s="1"/>
  <c r="AL20" i="26"/>
  <c r="AL20" i="23"/>
  <c r="AL20" i="21"/>
  <c r="W6" i="26"/>
  <c r="H22" i="26" s="1"/>
  <c r="D7" i="24"/>
  <c r="D23" i="24" s="1"/>
  <c r="G22" i="24"/>
  <c r="N22" i="23"/>
  <c r="M22" i="23"/>
  <c r="K21" i="23"/>
  <c r="S21" i="23" s="1"/>
  <c r="L22" i="23"/>
  <c r="J21" i="23"/>
  <c r="E22" i="24"/>
  <c r="H6" i="24"/>
  <c r="W6" i="24" s="1"/>
  <c r="J6" i="24"/>
  <c r="I6" i="24"/>
  <c r="X6" i="24"/>
  <c r="Y6" i="24"/>
  <c r="AF20" i="24"/>
  <c r="AG20" i="24" s="1"/>
  <c r="AD20" i="24"/>
  <c r="AE20" i="24" s="1"/>
  <c r="AB21" i="24"/>
  <c r="AC21" i="24" s="1"/>
  <c r="M22" i="26"/>
  <c r="N22" i="26"/>
  <c r="F4" i="25"/>
  <c r="L19" i="25"/>
  <c r="K18" i="25"/>
  <c r="S18" i="25" s="1"/>
  <c r="J18" i="25"/>
  <c r="Z21" i="26"/>
  <c r="AA21" i="26" s="1"/>
  <c r="AB21" i="26"/>
  <c r="AC21" i="26" s="1"/>
  <c r="V3" i="25"/>
  <c r="I19" i="25" s="1"/>
  <c r="Y6" i="22"/>
  <c r="E22" i="22"/>
  <c r="X6" i="22"/>
  <c r="J6" i="22"/>
  <c r="H6" i="22"/>
  <c r="I6" i="22"/>
  <c r="Q21" i="22"/>
  <c r="G22" i="22"/>
  <c r="D7" i="22"/>
  <c r="D23" i="22" s="1"/>
  <c r="AD20" i="22"/>
  <c r="AE20" i="22" s="1"/>
  <c r="V21" i="21"/>
  <c r="Z18" i="25"/>
  <c r="AA18" i="25" s="1"/>
  <c r="AB18" i="25"/>
  <c r="AC18" i="25" s="1"/>
  <c r="N19" i="25"/>
  <c r="M19" i="25"/>
  <c r="G7" i="27"/>
  <c r="E7" i="27"/>
  <c r="F23" i="27"/>
  <c r="F7" i="23"/>
  <c r="AC22" i="27"/>
  <c r="AH22" i="27"/>
  <c r="AD22" i="27"/>
  <c r="AL22" i="27"/>
  <c r="AB22" i="27"/>
  <c r="W22" i="27"/>
  <c r="X22" i="27"/>
  <c r="AA22" i="27"/>
  <c r="Z22" i="27"/>
  <c r="Y22" i="27"/>
  <c r="S22" i="27"/>
  <c r="U22" i="27"/>
  <c r="Q22" i="27"/>
  <c r="V22" i="27"/>
  <c r="AF22" i="27"/>
  <c r="AG22" i="27" s="1"/>
  <c r="P22" i="27"/>
  <c r="AI22" i="27"/>
  <c r="T22" i="27"/>
  <c r="O22" i="27"/>
  <c r="R22" i="27"/>
  <c r="AE22" i="27"/>
  <c r="J21" i="26"/>
  <c r="L22" i="26"/>
  <c r="K21" i="26"/>
  <c r="S21" i="26" s="1"/>
  <c r="O22" i="21"/>
  <c r="P22" i="21" s="1"/>
  <c r="Q22" i="21" s="1"/>
  <c r="W22" i="21"/>
  <c r="F23" i="21"/>
  <c r="G7" i="21"/>
  <c r="E7" i="21"/>
  <c r="O22" i="19"/>
  <c r="P22" i="19" s="1"/>
  <c r="Q22" i="19" s="1"/>
  <c r="F7" i="19"/>
  <c r="F23" i="19" s="1"/>
  <c r="AB21" i="16"/>
  <c r="AC21" i="16" s="1"/>
  <c r="W6" i="19"/>
  <c r="H22" i="19" s="1"/>
  <c r="L22" i="19"/>
  <c r="K21" i="19"/>
  <c r="S21" i="19" s="1"/>
  <c r="X21" i="19"/>
  <c r="Y21" i="19" s="1"/>
  <c r="AF20" i="16"/>
  <c r="AG20" i="16" s="1"/>
  <c r="AD20" i="16"/>
  <c r="AE20" i="16" s="1"/>
  <c r="G22" i="16"/>
  <c r="D7" i="16"/>
  <c r="X6" i="16"/>
  <c r="H6" i="16"/>
  <c r="Y6" i="16"/>
  <c r="J6" i="16"/>
  <c r="E22" i="16"/>
  <c r="I6" i="16"/>
  <c r="K21" i="7"/>
  <c r="S21" i="7" s="1"/>
  <c r="R21" i="16"/>
  <c r="U21" i="16" s="1"/>
  <c r="J21" i="7"/>
  <c r="X21" i="7" s="1"/>
  <c r="Y21" i="7" s="1"/>
  <c r="D7" i="18"/>
  <c r="G22" i="18"/>
  <c r="AF20" i="18"/>
  <c r="AG20" i="18" s="1"/>
  <c r="AD20" i="18"/>
  <c r="AE20" i="18" s="1"/>
  <c r="J6" i="18"/>
  <c r="Y6" i="18"/>
  <c r="I6" i="18"/>
  <c r="H6" i="18"/>
  <c r="W6" i="18" s="1"/>
  <c r="E22" i="18"/>
  <c r="X6" i="18"/>
  <c r="Q21" i="18"/>
  <c r="R21" i="18"/>
  <c r="U21" i="18" s="1"/>
  <c r="AL20" i="19"/>
  <c r="D7" i="17"/>
  <c r="G22" i="17"/>
  <c r="V21" i="19"/>
  <c r="H22" i="7"/>
  <c r="J6" i="17"/>
  <c r="Y6" i="17"/>
  <c r="E22" i="17"/>
  <c r="L22" i="17" s="1"/>
  <c r="I6" i="17"/>
  <c r="H6" i="17"/>
  <c r="W6" i="17" s="1"/>
  <c r="X6" i="17"/>
  <c r="V6" i="17"/>
  <c r="Z21" i="19"/>
  <c r="AA21" i="19" s="1"/>
  <c r="AB21" i="19"/>
  <c r="AC21" i="19" s="1"/>
  <c r="T21" i="17"/>
  <c r="V21" i="17" s="1"/>
  <c r="X21" i="17"/>
  <c r="Y21" i="17" s="1"/>
  <c r="AF21" i="17"/>
  <c r="AG21" i="17" s="1"/>
  <c r="H22" i="15"/>
  <c r="AL20" i="15"/>
  <c r="AL20" i="7"/>
  <c r="V6" i="15"/>
  <c r="I22" i="15" s="1"/>
  <c r="N22" i="15"/>
  <c r="M22" i="15"/>
  <c r="D23" i="15"/>
  <c r="F7" i="15"/>
  <c r="K21" i="15"/>
  <c r="S21" i="15" s="1"/>
  <c r="J21" i="15"/>
  <c r="L22" i="15"/>
  <c r="O22" i="7"/>
  <c r="P22" i="7" s="1"/>
  <c r="Q22" i="7" s="1"/>
  <c r="W22" i="7"/>
  <c r="E7" i="7"/>
  <c r="F23" i="7"/>
  <c r="G7" i="7"/>
  <c r="Q22" i="11"/>
  <c r="AB22" i="11" s="1"/>
  <c r="AC22" i="11" s="1"/>
  <c r="R22" i="11"/>
  <c r="U22" i="11" s="1"/>
  <c r="O18" i="2"/>
  <c r="Z18" i="2" s="1"/>
  <c r="AA18" i="2" s="1"/>
  <c r="P18" i="2"/>
  <c r="S18" i="2" s="1"/>
  <c r="T18" i="2" s="1"/>
  <c r="D7" i="10"/>
  <c r="G22" i="10"/>
  <c r="AD20" i="10"/>
  <c r="AE20" i="10" s="1"/>
  <c r="AF20" i="10"/>
  <c r="AG20" i="10" s="1"/>
  <c r="F4" i="2"/>
  <c r="G4" i="2" s="1"/>
  <c r="J6" i="10"/>
  <c r="X6" i="10"/>
  <c r="Y6" i="10"/>
  <c r="E22" i="10"/>
  <c r="I6" i="10"/>
  <c r="H6" i="10"/>
  <c r="W6" i="10" s="1"/>
  <c r="AD21" i="11"/>
  <c r="AE21" i="11" s="1"/>
  <c r="Q21" i="10"/>
  <c r="H22" i="14"/>
  <c r="AL20" i="14"/>
  <c r="AB18" i="13"/>
  <c r="AC18" i="13" s="1"/>
  <c r="Z18" i="13"/>
  <c r="AA18" i="13" s="1"/>
  <c r="P22" i="12"/>
  <c r="Z22" i="12"/>
  <c r="AA22" i="12"/>
  <c r="U22" i="12"/>
  <c r="AE22" i="12"/>
  <c r="AH22" i="12"/>
  <c r="R22" i="12"/>
  <c r="AD22" i="12"/>
  <c r="AL22" i="12"/>
  <c r="O22" i="12"/>
  <c r="AB22" i="12"/>
  <c r="Q22" i="12"/>
  <c r="V22" i="12"/>
  <c r="X22" i="12"/>
  <c r="AF22" i="12"/>
  <c r="AG22" i="12" s="1"/>
  <c r="W22" i="12"/>
  <c r="T22" i="12"/>
  <c r="Y22" i="12"/>
  <c r="S22" i="12"/>
  <c r="AC22" i="12"/>
  <c r="AI22" i="12"/>
  <c r="Z21" i="14"/>
  <c r="AA21" i="14" s="1"/>
  <c r="AB21" i="14"/>
  <c r="AC21" i="14" s="1"/>
  <c r="L22" i="14"/>
  <c r="J21" i="14"/>
  <c r="K21" i="14"/>
  <c r="S21" i="14" s="1"/>
  <c r="G7" i="12"/>
  <c r="F23" i="12"/>
  <c r="E7" i="12"/>
  <c r="F7" i="14"/>
  <c r="J3" i="13"/>
  <c r="X3" i="13"/>
  <c r="Y3" i="13"/>
  <c r="I3" i="13"/>
  <c r="H3" i="13"/>
  <c r="V3" i="13" s="1"/>
  <c r="E19" i="13"/>
  <c r="E23" i="11"/>
  <c r="H7" i="11"/>
  <c r="W7" i="11" s="1"/>
  <c r="Y7" i="11"/>
  <c r="X7" i="11"/>
  <c r="I7" i="11"/>
  <c r="J7" i="11"/>
  <c r="R18" i="13"/>
  <c r="U18" i="13" s="1"/>
  <c r="D4" i="13"/>
  <c r="D20" i="13" s="1"/>
  <c r="G19" i="13"/>
  <c r="V6" i="14"/>
  <c r="I22" i="14" s="1"/>
  <c r="K19" i="2"/>
  <c r="L19" i="2"/>
  <c r="M22" i="14"/>
  <c r="N22" i="14"/>
  <c r="G23" i="11"/>
  <c r="D8" i="11"/>
  <c r="D24" i="11" s="1"/>
  <c r="AI21" i="17"/>
  <c r="AH20" i="10"/>
  <c r="AH21" i="11"/>
  <c r="AI20" i="16"/>
  <c r="AH20" i="16"/>
  <c r="AH20" i="18"/>
  <c r="AH20" i="24"/>
  <c r="AI20" i="24"/>
  <c r="AI20" i="10"/>
  <c r="AH20" i="22"/>
  <c r="AI20" i="18"/>
  <c r="H23" i="28" l="1"/>
  <c r="F8" i="28"/>
  <c r="G8" i="28" s="1"/>
  <c r="N23" i="28"/>
  <c r="M23" i="28"/>
  <c r="V7" i="28"/>
  <c r="I23" i="28" s="1"/>
  <c r="L23" i="28"/>
  <c r="AB22" i="28"/>
  <c r="AC22" i="28" s="1"/>
  <c r="Z22" i="28"/>
  <c r="AA22" i="28" s="1"/>
  <c r="R22" i="19"/>
  <c r="U22" i="19" s="1"/>
  <c r="Z22" i="21"/>
  <c r="AA22" i="21" s="1"/>
  <c r="AB22" i="21"/>
  <c r="AC22" i="21" s="1"/>
  <c r="R22" i="21"/>
  <c r="U22" i="21" s="1"/>
  <c r="F7" i="22"/>
  <c r="E7" i="22" s="1"/>
  <c r="I7" i="22" s="1"/>
  <c r="AL20" i="22"/>
  <c r="AL20" i="24"/>
  <c r="E7" i="23"/>
  <c r="G7" i="23"/>
  <c r="F23" i="23"/>
  <c r="T18" i="25"/>
  <c r="V18" i="25" s="1"/>
  <c r="AF18" i="25" s="1"/>
  <c r="AG18" i="25" s="1"/>
  <c r="X18" i="25"/>
  <c r="Y18" i="25" s="1"/>
  <c r="T21" i="26"/>
  <c r="V21" i="26" s="1"/>
  <c r="X21" i="26"/>
  <c r="Y21" i="26" s="1"/>
  <c r="V6" i="24"/>
  <c r="I22" i="24" s="1"/>
  <c r="E23" i="27"/>
  <c r="J7" i="27"/>
  <c r="H7" i="27"/>
  <c r="Y7" i="27"/>
  <c r="X7" i="27"/>
  <c r="V7" i="27"/>
  <c r="W7" i="27"/>
  <c r="I7" i="27"/>
  <c r="D8" i="21"/>
  <c r="D24" i="21" s="1"/>
  <c r="G23" i="21"/>
  <c r="D8" i="27"/>
  <c r="D24" i="27" s="1"/>
  <c r="G23" i="27"/>
  <c r="W6" i="22"/>
  <c r="H22" i="22" s="1"/>
  <c r="V6" i="22"/>
  <c r="I22" i="22" s="1"/>
  <c r="F7" i="24"/>
  <c r="AB21" i="22"/>
  <c r="AC21" i="22" s="1"/>
  <c r="Z21" i="22"/>
  <c r="AA21" i="22" s="1"/>
  <c r="W22" i="23"/>
  <c r="O22" i="23"/>
  <c r="P22" i="23" s="1"/>
  <c r="R22" i="23" s="1"/>
  <c r="U22" i="23" s="1"/>
  <c r="W19" i="25"/>
  <c r="O19" i="25"/>
  <c r="P19" i="25" s="1"/>
  <c r="Q19" i="25" s="1"/>
  <c r="AB19" i="25" s="1"/>
  <c r="AC19" i="25" s="1"/>
  <c r="M22" i="24"/>
  <c r="N22" i="24"/>
  <c r="E4" i="25"/>
  <c r="F20" i="25"/>
  <c r="G4" i="25"/>
  <c r="H22" i="24"/>
  <c r="W22" i="26"/>
  <c r="O22" i="26"/>
  <c r="P22" i="26" s="1"/>
  <c r="Q22" i="26" s="1"/>
  <c r="Z22" i="26" s="1"/>
  <c r="AA22" i="26" s="1"/>
  <c r="AD21" i="21"/>
  <c r="AE21" i="21" s="1"/>
  <c r="AF21" i="21"/>
  <c r="AG21" i="21" s="1"/>
  <c r="L22" i="24"/>
  <c r="K21" i="24"/>
  <c r="S21" i="24" s="1"/>
  <c r="J21" i="24"/>
  <c r="L22" i="22"/>
  <c r="K21" i="22"/>
  <c r="S21" i="22" s="1"/>
  <c r="J21" i="22"/>
  <c r="F23" i="22"/>
  <c r="T21" i="23"/>
  <c r="V21" i="23" s="1"/>
  <c r="X21" i="23"/>
  <c r="Y21" i="23" s="1"/>
  <c r="E23" i="21"/>
  <c r="Y7" i="21"/>
  <c r="H7" i="21"/>
  <c r="W7" i="21" s="1"/>
  <c r="I7" i="21"/>
  <c r="J7" i="21"/>
  <c r="X7" i="21"/>
  <c r="N22" i="22"/>
  <c r="M22" i="22"/>
  <c r="E7" i="19"/>
  <c r="Y7" i="19" s="1"/>
  <c r="G7" i="19"/>
  <c r="D8" i="19" s="1"/>
  <c r="D24" i="19" s="1"/>
  <c r="AD21" i="19"/>
  <c r="AE21" i="19" s="1"/>
  <c r="H22" i="18"/>
  <c r="AL20" i="16"/>
  <c r="AF21" i="19"/>
  <c r="AG21" i="19" s="1"/>
  <c r="I22" i="17"/>
  <c r="L22" i="16"/>
  <c r="K21" i="16"/>
  <c r="S21" i="16" s="1"/>
  <c r="J21" i="16"/>
  <c r="H22" i="17"/>
  <c r="V6" i="16"/>
  <c r="I22" i="16" s="1"/>
  <c r="W6" i="16"/>
  <c r="H22" i="16" s="1"/>
  <c r="T21" i="7"/>
  <c r="V21" i="7" s="1"/>
  <c r="AF21" i="7" s="1"/>
  <c r="AG21" i="7" s="1"/>
  <c r="D23" i="16"/>
  <c r="F7" i="16"/>
  <c r="N22" i="16"/>
  <c r="M22" i="16"/>
  <c r="AL20" i="18"/>
  <c r="Z21" i="18"/>
  <c r="AA21" i="18" s="1"/>
  <c r="AB21" i="18"/>
  <c r="AC21" i="18" s="1"/>
  <c r="L22" i="18"/>
  <c r="J21" i="18"/>
  <c r="K21" i="18"/>
  <c r="S21" i="18" s="1"/>
  <c r="M22" i="18"/>
  <c r="N22" i="18"/>
  <c r="D23" i="18"/>
  <c r="F7" i="18"/>
  <c r="V6" i="18"/>
  <c r="I22" i="18" s="1"/>
  <c r="N22" i="17"/>
  <c r="M22" i="17"/>
  <c r="AB22" i="17" s="1"/>
  <c r="AC22" i="17" s="1"/>
  <c r="D23" i="17"/>
  <c r="F7" i="17"/>
  <c r="AB22" i="19"/>
  <c r="AC22" i="19" s="1"/>
  <c r="Z22" i="19"/>
  <c r="AA22" i="19" s="1"/>
  <c r="AD21" i="17"/>
  <c r="AE21" i="17" s="1"/>
  <c r="T21" i="15"/>
  <c r="V21" i="15" s="1"/>
  <c r="X21" i="15"/>
  <c r="Y21" i="15" s="1"/>
  <c r="E7" i="15"/>
  <c r="F23" i="15"/>
  <c r="G7" i="15"/>
  <c r="W22" i="15"/>
  <c r="O22" i="15"/>
  <c r="P22" i="15" s="1"/>
  <c r="Z22" i="11"/>
  <c r="AA22" i="11" s="1"/>
  <c r="W3" i="13"/>
  <c r="H19" i="13" s="1"/>
  <c r="V7" i="11"/>
  <c r="I23" i="11" s="1"/>
  <c r="I19" i="13"/>
  <c r="Z22" i="7"/>
  <c r="AA22" i="7" s="1"/>
  <c r="AB22" i="7"/>
  <c r="AC22" i="7" s="1"/>
  <c r="D8" i="7"/>
  <c r="D24" i="7" s="1"/>
  <c r="G23" i="7"/>
  <c r="R22" i="7"/>
  <c r="U22" i="7" s="1"/>
  <c r="H7" i="7"/>
  <c r="W7" i="7" s="1"/>
  <c r="I7" i="7"/>
  <c r="Y7" i="7"/>
  <c r="J7" i="7"/>
  <c r="E23" i="7"/>
  <c r="X7" i="7"/>
  <c r="X18" i="2"/>
  <c r="Y18" i="2" s="1"/>
  <c r="AB18" i="2" s="1"/>
  <c r="AC18" i="2" s="1"/>
  <c r="AL20" i="10"/>
  <c r="AL21" i="11"/>
  <c r="M22" i="10"/>
  <c r="N22" i="10"/>
  <c r="D23" i="10"/>
  <c r="F7" i="10"/>
  <c r="F4" i="13"/>
  <c r="F20" i="13" s="1"/>
  <c r="H22" i="10"/>
  <c r="Z21" i="10"/>
  <c r="AA21" i="10" s="1"/>
  <c r="AB21" i="10"/>
  <c r="AC21" i="10" s="1"/>
  <c r="F20" i="2"/>
  <c r="V6" i="10"/>
  <c r="I22" i="10" s="1"/>
  <c r="H23" i="11"/>
  <c r="L22" i="10"/>
  <c r="K21" i="10"/>
  <c r="S21" i="10" s="1"/>
  <c r="J21" i="10"/>
  <c r="T21" i="14"/>
  <c r="V21" i="14" s="1"/>
  <c r="AF21" i="14" s="1"/>
  <c r="AG21" i="14" s="1"/>
  <c r="X21" i="14"/>
  <c r="Y21" i="14" s="1"/>
  <c r="G7" i="14"/>
  <c r="E7" i="14"/>
  <c r="F23" i="14"/>
  <c r="L19" i="13"/>
  <c r="K18" i="13"/>
  <c r="S18" i="13" s="1"/>
  <c r="J18" i="13"/>
  <c r="G20" i="2"/>
  <c r="D5" i="2"/>
  <c r="D21" i="2" s="1"/>
  <c r="H4" i="2"/>
  <c r="U4" i="2" s="1"/>
  <c r="I20" i="2" s="1"/>
  <c r="M23" i="11"/>
  <c r="N23" i="11"/>
  <c r="F8" i="11"/>
  <c r="E23" i="12"/>
  <c r="Y7" i="12"/>
  <c r="X7" i="12"/>
  <c r="W7" i="12"/>
  <c r="V7" i="12"/>
  <c r="J7" i="12"/>
  <c r="H7" i="12"/>
  <c r="I7" i="12"/>
  <c r="M19" i="13"/>
  <c r="N19" i="13"/>
  <c r="W22" i="14"/>
  <c r="O22" i="14"/>
  <c r="P22" i="14" s="1"/>
  <c r="Q22" i="14" s="1"/>
  <c r="L23" i="11"/>
  <c r="K22" i="11"/>
  <c r="S22" i="11" s="1"/>
  <c r="J22" i="11"/>
  <c r="G23" i="12"/>
  <c r="D8" i="12"/>
  <c r="D24" i="12" s="1"/>
  <c r="R19" i="2"/>
  <c r="Q19" i="2"/>
  <c r="U19" i="2"/>
  <c r="V19" i="2" s="1"/>
  <c r="W19" i="2" s="1"/>
  <c r="M19" i="2"/>
  <c r="N19" i="2" s="1"/>
  <c r="AH21" i="17"/>
  <c r="AI21" i="21"/>
  <c r="AI18" i="25"/>
  <c r="AH21" i="19"/>
  <c r="AI21" i="14"/>
  <c r="AH21" i="21"/>
  <c r="AI21" i="7"/>
  <c r="AI21" i="19"/>
  <c r="AF18" i="2"/>
  <c r="J7" i="22" l="1"/>
  <c r="F24" i="28"/>
  <c r="E8" i="28"/>
  <c r="H8" i="28" s="1"/>
  <c r="AB22" i="26"/>
  <c r="AC22" i="26" s="1"/>
  <c r="E24" i="28"/>
  <c r="W23" i="28"/>
  <c r="O23" i="28"/>
  <c r="P23" i="28" s="1"/>
  <c r="R23" i="28" s="1"/>
  <c r="U23" i="28" s="1"/>
  <c r="G24" i="28"/>
  <c r="D9" i="28"/>
  <c r="D25" i="28" s="1"/>
  <c r="X7" i="22"/>
  <c r="Y7" i="22"/>
  <c r="G7" i="22"/>
  <c r="D8" i="22" s="1"/>
  <c r="D24" i="22" s="1"/>
  <c r="E23" i="22"/>
  <c r="K22" i="22" s="1"/>
  <c r="S22" i="22" s="1"/>
  <c r="AD18" i="25"/>
  <c r="AE18" i="25" s="1"/>
  <c r="Z19" i="25"/>
  <c r="AA19" i="25" s="1"/>
  <c r="Q22" i="23"/>
  <c r="Z22" i="23" s="1"/>
  <c r="AA22" i="23" s="1"/>
  <c r="H23" i="27"/>
  <c r="I23" i="27"/>
  <c r="V7" i="21"/>
  <c r="I23" i="21" s="1"/>
  <c r="AL21" i="21"/>
  <c r="D5" i="25"/>
  <c r="D21" i="25" s="1"/>
  <c r="G20" i="25"/>
  <c r="M23" i="21"/>
  <c r="N23" i="21"/>
  <c r="X21" i="24"/>
  <c r="Y21" i="24" s="1"/>
  <c r="T21" i="24"/>
  <c r="V21" i="24" s="1"/>
  <c r="F8" i="21"/>
  <c r="AF21" i="26"/>
  <c r="AG21" i="26" s="1"/>
  <c r="AD21" i="26"/>
  <c r="AE21" i="26" s="1"/>
  <c r="H7" i="19"/>
  <c r="W7" i="19" s="1"/>
  <c r="H23" i="19" s="1"/>
  <c r="L23" i="21"/>
  <c r="K22" i="21"/>
  <c r="S22" i="21" s="1"/>
  <c r="J22" i="21"/>
  <c r="J7" i="19"/>
  <c r="G23" i="19"/>
  <c r="M23" i="19" s="1"/>
  <c r="W23" i="19" s="1"/>
  <c r="H23" i="21"/>
  <c r="R19" i="25"/>
  <c r="U19" i="25" s="1"/>
  <c r="G23" i="23"/>
  <c r="D8" i="23"/>
  <c r="D24" i="23" s="1"/>
  <c r="I7" i="19"/>
  <c r="E23" i="19"/>
  <c r="L23" i="19" s="1"/>
  <c r="X7" i="19"/>
  <c r="W22" i="22"/>
  <c r="O22" i="22"/>
  <c r="P22" i="22" s="1"/>
  <c r="R22" i="22" s="1"/>
  <c r="U22" i="22" s="1"/>
  <c r="Y4" i="25"/>
  <c r="H4" i="25"/>
  <c r="V4" i="25" s="1"/>
  <c r="I4" i="25"/>
  <c r="J4" i="25"/>
  <c r="E20" i="25"/>
  <c r="X4" i="25"/>
  <c r="F23" i="24"/>
  <c r="G7" i="24"/>
  <c r="E7" i="24"/>
  <c r="J7" i="23"/>
  <c r="E23" i="23"/>
  <c r="I7" i="23"/>
  <c r="Y7" i="23"/>
  <c r="X7" i="23"/>
  <c r="H7" i="23"/>
  <c r="V7" i="23" s="1"/>
  <c r="AF21" i="23"/>
  <c r="AG21" i="23" s="1"/>
  <c r="AD21" i="23"/>
  <c r="AE21" i="23" s="1"/>
  <c r="W22" i="24"/>
  <c r="O22" i="24"/>
  <c r="P22" i="24" s="1"/>
  <c r="R22" i="24" s="1"/>
  <c r="U22" i="24" s="1"/>
  <c r="R22" i="26"/>
  <c r="U22" i="26" s="1"/>
  <c r="F8" i="27"/>
  <c r="T21" i="22"/>
  <c r="V21" i="22" s="1"/>
  <c r="X21" i="22"/>
  <c r="Y21" i="22" s="1"/>
  <c r="N23" i="27"/>
  <c r="M23" i="27"/>
  <c r="J23" i="27"/>
  <c r="L23" i="27"/>
  <c r="K23" i="27"/>
  <c r="F8" i="19"/>
  <c r="G8" i="19" s="1"/>
  <c r="G24" i="19" s="1"/>
  <c r="L23" i="22"/>
  <c r="F8" i="22"/>
  <c r="AD21" i="7"/>
  <c r="AE21" i="7" s="1"/>
  <c r="AL21" i="19"/>
  <c r="E7" i="16"/>
  <c r="G7" i="16"/>
  <c r="F23" i="16"/>
  <c r="X21" i="16"/>
  <c r="Y21" i="16" s="1"/>
  <c r="T21" i="16"/>
  <c r="V21" i="16" s="1"/>
  <c r="O22" i="16"/>
  <c r="P22" i="16" s="1"/>
  <c r="R22" i="16" s="1"/>
  <c r="U22" i="16" s="1"/>
  <c r="W22" i="16"/>
  <c r="X21" i="18"/>
  <c r="Y21" i="18" s="1"/>
  <c r="T21" i="18"/>
  <c r="V21" i="18" s="1"/>
  <c r="R22" i="17"/>
  <c r="U22" i="17" s="1"/>
  <c r="Z22" i="17"/>
  <c r="AA22" i="17" s="1"/>
  <c r="G7" i="18"/>
  <c r="F23" i="18"/>
  <c r="E7" i="18"/>
  <c r="O22" i="18"/>
  <c r="P22" i="18" s="1"/>
  <c r="Q22" i="18" s="1"/>
  <c r="Z22" i="18" s="1"/>
  <c r="AA22" i="18" s="1"/>
  <c r="W22" i="18"/>
  <c r="F23" i="17"/>
  <c r="G7" i="17"/>
  <c r="E7" i="17"/>
  <c r="W22" i="17"/>
  <c r="O22" i="17"/>
  <c r="P22" i="17" s="1"/>
  <c r="Q22" i="17" s="1"/>
  <c r="AL21" i="17"/>
  <c r="J22" i="17"/>
  <c r="K22" i="17"/>
  <c r="S22" i="17" s="1"/>
  <c r="V7" i="7"/>
  <c r="I23" i="7" s="1"/>
  <c r="G23" i="15"/>
  <c r="D8" i="15"/>
  <c r="R22" i="15"/>
  <c r="U22" i="15" s="1"/>
  <c r="Q22" i="15"/>
  <c r="J7" i="15"/>
  <c r="I7" i="15"/>
  <c r="H7" i="15"/>
  <c r="E23" i="15"/>
  <c r="Y7" i="15"/>
  <c r="X7" i="15"/>
  <c r="E4" i="13"/>
  <c r="G4" i="13"/>
  <c r="G20" i="13" s="1"/>
  <c r="AF21" i="15"/>
  <c r="AG21" i="15" s="1"/>
  <c r="AD21" i="15"/>
  <c r="AE21" i="15" s="1"/>
  <c r="I23" i="12"/>
  <c r="F8" i="7"/>
  <c r="F24" i="7" s="1"/>
  <c r="AD18" i="2"/>
  <c r="AE18" i="2" s="1"/>
  <c r="H23" i="7"/>
  <c r="N23" i="7"/>
  <c r="M23" i="7"/>
  <c r="J22" i="7"/>
  <c r="L23" i="7"/>
  <c r="K22" i="7"/>
  <c r="S22" i="7" s="1"/>
  <c r="W22" i="10"/>
  <c r="O22" i="10"/>
  <c r="P22" i="10" s="1"/>
  <c r="G7" i="10"/>
  <c r="F23" i="10"/>
  <c r="E7" i="10"/>
  <c r="X21" i="10"/>
  <c r="Y21" i="10" s="1"/>
  <c r="T21" i="10"/>
  <c r="V21" i="10" s="1"/>
  <c r="AF21" i="10" s="1"/>
  <c r="AG21" i="10" s="1"/>
  <c r="F5" i="2"/>
  <c r="G5" i="2" s="1"/>
  <c r="AD21" i="14"/>
  <c r="AE21" i="14" s="1"/>
  <c r="P19" i="2"/>
  <c r="S19" i="2" s="1"/>
  <c r="T19" i="2" s="1"/>
  <c r="O19" i="2"/>
  <c r="Z22" i="14"/>
  <c r="AA22" i="14" s="1"/>
  <c r="AB22" i="14"/>
  <c r="AC22" i="14" s="1"/>
  <c r="T18" i="13"/>
  <c r="V18" i="13" s="1"/>
  <c r="X18" i="13"/>
  <c r="Y18" i="13" s="1"/>
  <c r="K20" i="2"/>
  <c r="L20" i="2"/>
  <c r="M23" i="12"/>
  <c r="N23" i="12"/>
  <c r="H23" i="12"/>
  <c r="G23" i="14"/>
  <c r="D8" i="14"/>
  <c r="D24" i="14" s="1"/>
  <c r="E23" i="14"/>
  <c r="Y7" i="14"/>
  <c r="I7" i="14"/>
  <c r="H7" i="14"/>
  <c r="V7" i="14" s="1"/>
  <c r="X7" i="14"/>
  <c r="J7" i="14"/>
  <c r="F8" i="12"/>
  <c r="X22" i="11"/>
  <c r="Y22" i="11" s="1"/>
  <c r="T22" i="11"/>
  <c r="V22" i="11" s="1"/>
  <c r="R22" i="14"/>
  <c r="U22" i="14" s="1"/>
  <c r="L23" i="12"/>
  <c r="J23" i="12"/>
  <c r="K23" i="12"/>
  <c r="O19" i="13"/>
  <c r="P19" i="13" s="1"/>
  <c r="W19" i="13"/>
  <c r="F24" i="11"/>
  <c r="G8" i="11"/>
  <c r="E8" i="11"/>
  <c r="O23" i="11"/>
  <c r="P23" i="11" s="1"/>
  <c r="R23" i="11" s="1"/>
  <c r="U23" i="11" s="1"/>
  <c r="W23" i="11"/>
  <c r="AH21" i="23"/>
  <c r="AH21" i="14"/>
  <c r="AI21" i="15"/>
  <c r="AH21" i="26"/>
  <c r="AI21" i="26"/>
  <c r="AI21" i="23"/>
  <c r="AH18" i="25"/>
  <c r="AH21" i="7"/>
  <c r="AI21" i="10"/>
  <c r="AH21" i="15"/>
  <c r="AG18" i="2"/>
  <c r="X8" i="28" l="1"/>
  <c r="Y8" i="28"/>
  <c r="I8" i="28"/>
  <c r="J22" i="22"/>
  <c r="W8" i="28"/>
  <c r="J8" i="28"/>
  <c r="I23" i="23"/>
  <c r="V8" i="28"/>
  <c r="I24" i="28" s="1"/>
  <c r="F9" i="28"/>
  <c r="E9" i="28" s="1"/>
  <c r="L24" i="28"/>
  <c r="K24" i="28"/>
  <c r="J24" i="28"/>
  <c r="M24" i="28"/>
  <c r="N24" i="28"/>
  <c r="Q23" i="28"/>
  <c r="AL18" i="25"/>
  <c r="G23" i="22"/>
  <c r="H7" i="22"/>
  <c r="Q22" i="24"/>
  <c r="Z22" i="24" s="1"/>
  <c r="AA22" i="24" s="1"/>
  <c r="F5" i="25"/>
  <c r="G5" i="25" s="1"/>
  <c r="V7" i="19"/>
  <c r="I23" i="19" s="1"/>
  <c r="K22" i="19"/>
  <c r="S22" i="19" s="1"/>
  <c r="AB22" i="23"/>
  <c r="AC22" i="23" s="1"/>
  <c r="W7" i="23"/>
  <c r="H23" i="23" s="1"/>
  <c r="O23" i="21"/>
  <c r="P23" i="21" s="1"/>
  <c r="R23" i="21" s="1"/>
  <c r="U23" i="21" s="1"/>
  <c r="N23" i="19"/>
  <c r="O23" i="19" s="1"/>
  <c r="P23" i="19" s="1"/>
  <c r="Q23" i="19" s="1"/>
  <c r="AB23" i="19" s="1"/>
  <c r="AC23" i="19" s="1"/>
  <c r="AD21" i="22"/>
  <c r="AE21" i="22" s="1"/>
  <c r="Q22" i="22"/>
  <c r="W4" i="25"/>
  <c r="H20" i="25" s="1"/>
  <c r="AL21" i="26"/>
  <c r="AL21" i="23"/>
  <c r="F8" i="26"/>
  <c r="H7" i="24"/>
  <c r="W7" i="24" s="1"/>
  <c r="J7" i="24"/>
  <c r="I7" i="24"/>
  <c r="E23" i="24"/>
  <c r="Y7" i="24"/>
  <c r="X7" i="24"/>
  <c r="T22" i="21"/>
  <c r="V22" i="21" s="1"/>
  <c r="X22" i="21"/>
  <c r="Y22" i="21" s="1"/>
  <c r="M20" i="25"/>
  <c r="N20" i="25"/>
  <c r="F24" i="27"/>
  <c r="E8" i="27"/>
  <c r="G8" i="27"/>
  <c r="D8" i="24"/>
  <c r="D24" i="24" s="1"/>
  <c r="G23" i="24"/>
  <c r="N23" i="26"/>
  <c r="M23" i="26"/>
  <c r="F8" i="23"/>
  <c r="AF21" i="22"/>
  <c r="AG21" i="22" s="1"/>
  <c r="L20" i="25"/>
  <c r="K19" i="25"/>
  <c r="S19" i="25" s="1"/>
  <c r="J19" i="25"/>
  <c r="N23" i="23"/>
  <c r="M23" i="23"/>
  <c r="F24" i="21"/>
  <c r="E8" i="21"/>
  <c r="G8" i="21"/>
  <c r="J22" i="19"/>
  <c r="T22" i="19" s="1"/>
  <c r="V22" i="19" s="1"/>
  <c r="AF22" i="19" s="1"/>
  <c r="AG22" i="19" s="1"/>
  <c r="AF21" i="24"/>
  <c r="AG21" i="24" s="1"/>
  <c r="AD21" i="24"/>
  <c r="AE21" i="24" s="1"/>
  <c r="I20" i="25"/>
  <c r="S23" i="27"/>
  <c r="R23" i="27"/>
  <c r="AL23" i="27"/>
  <c r="AA23" i="27"/>
  <c r="AD23" i="27"/>
  <c r="Y23" i="27"/>
  <c r="AF23" i="27"/>
  <c r="AG23" i="27" s="1"/>
  <c r="O23" i="27"/>
  <c r="Q23" i="27"/>
  <c r="P23" i="27"/>
  <c r="X23" i="27"/>
  <c r="AE23" i="27"/>
  <c r="W23" i="27"/>
  <c r="Z23" i="27"/>
  <c r="U23" i="27"/>
  <c r="AC23" i="27"/>
  <c r="V23" i="27"/>
  <c r="AI23" i="27"/>
  <c r="AH23" i="27"/>
  <c r="AB23" i="27"/>
  <c r="T23" i="27"/>
  <c r="L23" i="23"/>
  <c r="J22" i="23"/>
  <c r="K22" i="23"/>
  <c r="S22" i="23" s="1"/>
  <c r="W23" i="21"/>
  <c r="D9" i="19"/>
  <c r="D25" i="19" s="1"/>
  <c r="F24" i="19"/>
  <c r="N24" i="19" s="1"/>
  <c r="E8" i="19"/>
  <c r="E24" i="19" s="1"/>
  <c r="L24" i="19" s="1"/>
  <c r="F24" i="22"/>
  <c r="G8" i="22"/>
  <c r="E8" i="22"/>
  <c r="T22" i="22"/>
  <c r="V22" i="22" s="1"/>
  <c r="X22" i="22"/>
  <c r="Y22" i="22" s="1"/>
  <c r="AL21" i="7"/>
  <c r="Q22" i="16"/>
  <c r="AF21" i="16"/>
  <c r="AG21" i="16" s="1"/>
  <c r="AD21" i="16"/>
  <c r="AE21" i="16" s="1"/>
  <c r="D8" i="16"/>
  <c r="G23" i="16"/>
  <c r="Y7" i="16"/>
  <c r="E23" i="16"/>
  <c r="J7" i="16"/>
  <c r="X7" i="16"/>
  <c r="I7" i="16"/>
  <c r="H7" i="16"/>
  <c r="W7" i="16" s="1"/>
  <c r="H7" i="18"/>
  <c r="V7" i="18" s="1"/>
  <c r="Y7" i="18"/>
  <c r="J7" i="18"/>
  <c r="E23" i="18"/>
  <c r="I7" i="18"/>
  <c r="X7" i="18"/>
  <c r="D8" i="18"/>
  <c r="G23" i="18"/>
  <c r="AD21" i="18"/>
  <c r="AE21" i="18" s="1"/>
  <c r="AF21" i="18"/>
  <c r="AG21" i="18" s="1"/>
  <c r="R22" i="18"/>
  <c r="U22" i="18" s="1"/>
  <c r="AB22" i="18"/>
  <c r="AC22" i="18" s="1"/>
  <c r="J7" i="17"/>
  <c r="E23" i="17"/>
  <c r="L23" i="17" s="1"/>
  <c r="V7" i="17"/>
  <c r="H7" i="17"/>
  <c r="Y7" i="17"/>
  <c r="X7" i="17"/>
  <c r="I7" i="17"/>
  <c r="W7" i="17"/>
  <c r="G23" i="17"/>
  <c r="D8" i="17"/>
  <c r="E8" i="7"/>
  <c r="X8" i="7" s="1"/>
  <c r="T22" i="17"/>
  <c r="V22" i="17" s="1"/>
  <c r="X22" i="17"/>
  <c r="Y22" i="17" s="1"/>
  <c r="H4" i="13"/>
  <c r="V4" i="13" s="1"/>
  <c r="D5" i="13"/>
  <c r="D21" i="13" s="1"/>
  <c r="Y4" i="13"/>
  <c r="I4" i="13"/>
  <c r="G8" i="7"/>
  <c r="G24" i="7" s="1"/>
  <c r="AL21" i="15"/>
  <c r="W7" i="15"/>
  <c r="H23" i="15" s="1"/>
  <c r="V7" i="15"/>
  <c r="I23" i="15" s="1"/>
  <c r="Z22" i="15"/>
  <c r="AA22" i="15" s="1"/>
  <c r="AB22" i="15"/>
  <c r="AC22" i="15" s="1"/>
  <c r="E20" i="13"/>
  <c r="J19" i="13" s="1"/>
  <c r="L23" i="15"/>
  <c r="J22" i="15"/>
  <c r="K22" i="15"/>
  <c r="S22" i="15" s="1"/>
  <c r="J4" i="13"/>
  <c r="X4" i="13"/>
  <c r="D24" i="15"/>
  <c r="F8" i="15"/>
  <c r="N23" i="15"/>
  <c r="M23" i="15"/>
  <c r="AJ18" i="2"/>
  <c r="F21" i="2"/>
  <c r="T22" i="7"/>
  <c r="V22" i="7" s="1"/>
  <c r="X22" i="7"/>
  <c r="Y22" i="7" s="1"/>
  <c r="O23" i="7"/>
  <c r="P23" i="7" s="1"/>
  <c r="Q23" i="7" s="1"/>
  <c r="W23" i="7"/>
  <c r="R19" i="13"/>
  <c r="U19" i="13" s="1"/>
  <c r="Q19" i="13"/>
  <c r="Z19" i="13" s="1"/>
  <c r="AA19" i="13" s="1"/>
  <c r="R22" i="10"/>
  <c r="U22" i="10" s="1"/>
  <c r="Q22" i="10"/>
  <c r="I23" i="14"/>
  <c r="J7" i="10"/>
  <c r="Y7" i="10"/>
  <c r="I7" i="10"/>
  <c r="E23" i="10"/>
  <c r="H7" i="10"/>
  <c r="V7" i="10" s="1"/>
  <c r="X7" i="10"/>
  <c r="G23" i="10"/>
  <c r="D8" i="10"/>
  <c r="D24" i="10" s="1"/>
  <c r="AD21" i="10"/>
  <c r="AE21" i="10" s="1"/>
  <c r="W7" i="14"/>
  <c r="H23" i="14" s="1"/>
  <c r="AL21" i="14"/>
  <c r="T23" i="12"/>
  <c r="O23" i="12"/>
  <c r="AF23" i="12"/>
  <c r="AG23" i="12" s="1"/>
  <c r="U23" i="12"/>
  <c r="AA23" i="12"/>
  <c r="W23" i="12"/>
  <c r="P23" i="12"/>
  <c r="X23" i="12"/>
  <c r="Q23" i="12"/>
  <c r="AD23" i="12"/>
  <c r="AE23" i="12"/>
  <c r="R23" i="12"/>
  <c r="AH23" i="12"/>
  <c r="Z23" i="12"/>
  <c r="AB23" i="12"/>
  <c r="AL23" i="12"/>
  <c r="AC23" i="12"/>
  <c r="V23" i="12"/>
  <c r="S23" i="12"/>
  <c r="Y23" i="12"/>
  <c r="AI23" i="12"/>
  <c r="L23" i="14"/>
  <c r="J22" i="14"/>
  <c r="K22" i="14"/>
  <c r="S22" i="14" s="1"/>
  <c r="F8" i="14"/>
  <c r="AF22" i="11"/>
  <c r="AG22" i="11" s="1"/>
  <c r="AD22" i="11"/>
  <c r="AE22" i="11" s="1"/>
  <c r="X19" i="2"/>
  <c r="Y19" i="2" s="1"/>
  <c r="AB19" i="2" s="1"/>
  <c r="AC19" i="2" s="1"/>
  <c r="Z19" i="2"/>
  <c r="AA19" i="2" s="1"/>
  <c r="D9" i="11"/>
  <c r="D25" i="11" s="1"/>
  <c r="G24" i="11"/>
  <c r="E8" i="12"/>
  <c r="G8" i="12"/>
  <c r="F24" i="12"/>
  <c r="Q23" i="11"/>
  <c r="M23" i="14"/>
  <c r="N23" i="14"/>
  <c r="U20" i="2"/>
  <c r="V20" i="2" s="1"/>
  <c r="W20" i="2" s="1"/>
  <c r="Q20" i="2"/>
  <c r="M20" i="2"/>
  <c r="N20" i="2" s="1"/>
  <c r="R20" i="2"/>
  <c r="E24" i="11"/>
  <c r="Y8" i="11"/>
  <c r="X8" i="11"/>
  <c r="J8" i="11"/>
  <c r="H8" i="11"/>
  <c r="W8" i="11" s="1"/>
  <c r="I8" i="11"/>
  <c r="N20" i="13"/>
  <c r="M20" i="13"/>
  <c r="AF18" i="13"/>
  <c r="AG18" i="13" s="1"/>
  <c r="AD18" i="13"/>
  <c r="AE18" i="13" s="1"/>
  <c r="G21" i="2"/>
  <c r="D6" i="2"/>
  <c r="D22" i="2" s="1"/>
  <c r="H5" i="2"/>
  <c r="U5" i="2" s="1"/>
  <c r="I21" i="2" s="1"/>
  <c r="AI21" i="22"/>
  <c r="AI21" i="24"/>
  <c r="AH21" i="10"/>
  <c r="AI21" i="16"/>
  <c r="AH21" i="22"/>
  <c r="AH22" i="11"/>
  <c r="AH21" i="16"/>
  <c r="AF19" i="2"/>
  <c r="AI22" i="11"/>
  <c r="AH21" i="24"/>
  <c r="AI18" i="13"/>
  <c r="AH18" i="13"/>
  <c r="AI21" i="18"/>
  <c r="AH21" i="18"/>
  <c r="AI22" i="19"/>
  <c r="H24" i="28" l="1"/>
  <c r="F21" i="25"/>
  <c r="E5" i="25"/>
  <c r="F25" i="28"/>
  <c r="G9" i="28"/>
  <c r="G25" i="28" s="1"/>
  <c r="Z23" i="28"/>
  <c r="AA23" i="28" s="1"/>
  <c r="AB23" i="28"/>
  <c r="AC23" i="28" s="1"/>
  <c r="W24" i="28"/>
  <c r="AL24" i="28"/>
  <c r="V24" i="28"/>
  <c r="U24" i="28"/>
  <c r="AD24" i="28"/>
  <c r="P24" i="28"/>
  <c r="AC24" i="28"/>
  <c r="O24" i="28"/>
  <c r="AA24" i="28"/>
  <c r="Z24" i="28"/>
  <c r="AB24" i="28"/>
  <c r="Y24" i="28"/>
  <c r="T24" i="28"/>
  <c r="S24" i="28"/>
  <c r="R24" i="28"/>
  <c r="AF24" i="28"/>
  <c r="AG24" i="28" s="1"/>
  <c r="AE24" i="28"/>
  <c r="X24" i="28"/>
  <c r="Q24" i="28"/>
  <c r="AH24" i="28"/>
  <c r="AI24" i="28"/>
  <c r="Y9" i="28"/>
  <c r="X9" i="28"/>
  <c r="V9" i="28"/>
  <c r="J9" i="28"/>
  <c r="W9" i="28"/>
  <c r="E25" i="28"/>
  <c r="I9" i="28"/>
  <c r="H9" i="28"/>
  <c r="Q23" i="21"/>
  <c r="AB23" i="21" s="1"/>
  <c r="AC23" i="21" s="1"/>
  <c r="R23" i="19"/>
  <c r="U23" i="19" s="1"/>
  <c r="H23" i="24"/>
  <c r="X22" i="19"/>
  <c r="Y22" i="19" s="1"/>
  <c r="AD22" i="19" s="1"/>
  <c r="AE22" i="19" s="1"/>
  <c r="W7" i="22"/>
  <c r="H23" i="22" s="1"/>
  <c r="V7" i="22"/>
  <c r="I23" i="22" s="1"/>
  <c r="AB22" i="24"/>
  <c r="AC22" i="24" s="1"/>
  <c r="N23" i="22"/>
  <c r="M23" i="22"/>
  <c r="Z23" i="19"/>
  <c r="AA23" i="19" s="1"/>
  <c r="Z22" i="22"/>
  <c r="AA22" i="22" s="1"/>
  <c r="AD22" i="22" s="1"/>
  <c r="AE22" i="22" s="1"/>
  <c r="AB22" i="22"/>
  <c r="AC22" i="22" s="1"/>
  <c r="AL21" i="24"/>
  <c r="AL21" i="22"/>
  <c r="N23" i="24"/>
  <c r="M23" i="24"/>
  <c r="L23" i="24"/>
  <c r="K22" i="24"/>
  <c r="S22" i="24" s="1"/>
  <c r="J22" i="24"/>
  <c r="T22" i="23"/>
  <c r="V22" i="23" s="1"/>
  <c r="X22" i="23"/>
  <c r="Y22" i="23" s="1"/>
  <c r="G21" i="25"/>
  <c r="D6" i="25"/>
  <c r="D22" i="25" s="1"/>
  <c r="J8" i="27"/>
  <c r="I8" i="27"/>
  <c r="V8" i="27"/>
  <c r="I24" i="27" s="1"/>
  <c r="H8" i="27"/>
  <c r="W8" i="27"/>
  <c r="H24" i="27" s="1"/>
  <c r="E24" i="27"/>
  <c r="G8" i="26"/>
  <c r="E8" i="26"/>
  <c r="W8" i="26" s="1"/>
  <c r="D9" i="21"/>
  <c r="D25" i="21" s="1"/>
  <c r="G24" i="21"/>
  <c r="J8" i="21"/>
  <c r="I8" i="21"/>
  <c r="H8" i="21"/>
  <c r="V8" i="21" s="1"/>
  <c r="Y8" i="21"/>
  <c r="E24" i="21"/>
  <c r="X8" i="21"/>
  <c r="J5" i="25"/>
  <c r="H5" i="25"/>
  <c r="W5" i="25" s="1"/>
  <c r="I5" i="25"/>
  <c r="Y5" i="25"/>
  <c r="E21" i="25"/>
  <c r="X5" i="25"/>
  <c r="W20" i="25"/>
  <c r="O20" i="25"/>
  <c r="P20" i="25" s="1"/>
  <c r="Q20" i="25" s="1"/>
  <c r="AB20" i="25" s="1"/>
  <c r="AC20" i="25" s="1"/>
  <c r="D9" i="27"/>
  <c r="D25" i="27" s="1"/>
  <c r="G24" i="27"/>
  <c r="F24" i="23"/>
  <c r="G8" i="23"/>
  <c r="E8" i="23"/>
  <c r="AD22" i="21"/>
  <c r="AE22" i="21" s="1"/>
  <c r="AF22" i="21"/>
  <c r="AG22" i="21" s="1"/>
  <c r="W23" i="26"/>
  <c r="O23" i="26"/>
  <c r="P23" i="26" s="1"/>
  <c r="R23" i="26" s="1"/>
  <c r="U23" i="26" s="1"/>
  <c r="V7" i="24"/>
  <c r="I23" i="24" s="1"/>
  <c r="W23" i="23"/>
  <c r="O23" i="23"/>
  <c r="P23" i="23" s="1"/>
  <c r="R23" i="23" s="1"/>
  <c r="U23" i="23" s="1"/>
  <c r="T19" i="25"/>
  <c r="V19" i="25" s="1"/>
  <c r="X19" i="25"/>
  <c r="Y19" i="25" s="1"/>
  <c r="F8" i="24"/>
  <c r="F9" i="19"/>
  <c r="E9" i="19" s="1"/>
  <c r="X8" i="19"/>
  <c r="J8" i="19"/>
  <c r="I8" i="19"/>
  <c r="H8" i="19"/>
  <c r="V8" i="19" s="1"/>
  <c r="M24" i="19"/>
  <c r="O24" i="19" s="1"/>
  <c r="P24" i="19" s="1"/>
  <c r="Q24" i="19" s="1"/>
  <c r="K23" i="19"/>
  <c r="S23" i="19" s="1"/>
  <c r="J23" i="19"/>
  <c r="T23" i="19" s="1"/>
  <c r="V23" i="19" s="1"/>
  <c r="Y8" i="19"/>
  <c r="H8" i="22"/>
  <c r="V8" i="22" s="1"/>
  <c r="E24" i="22"/>
  <c r="Y8" i="22"/>
  <c r="I8" i="22"/>
  <c r="J8" i="22"/>
  <c r="X8" i="22"/>
  <c r="G24" i="22"/>
  <c r="D9" i="22"/>
  <c r="D25" i="22" s="1"/>
  <c r="W7" i="18"/>
  <c r="H23" i="18" s="1"/>
  <c r="H23" i="17"/>
  <c r="AL21" i="16"/>
  <c r="L23" i="16"/>
  <c r="K22" i="16"/>
  <c r="S22" i="16" s="1"/>
  <c r="J22" i="16"/>
  <c r="N23" i="16"/>
  <c r="M23" i="16"/>
  <c r="D24" i="16"/>
  <c r="F8" i="16"/>
  <c r="V7" i="16"/>
  <c r="I23" i="16" s="1"/>
  <c r="H23" i="16"/>
  <c r="AB22" i="16"/>
  <c r="AC22" i="16" s="1"/>
  <c r="Z22" i="16"/>
  <c r="AA22" i="16" s="1"/>
  <c r="AL21" i="18"/>
  <c r="D24" i="18"/>
  <c r="F8" i="18"/>
  <c r="L23" i="18"/>
  <c r="J22" i="18"/>
  <c r="K22" i="18"/>
  <c r="S22" i="18" s="1"/>
  <c r="N23" i="18"/>
  <c r="M23" i="18"/>
  <c r="I23" i="18"/>
  <c r="D24" i="17"/>
  <c r="F8" i="17"/>
  <c r="I23" i="17"/>
  <c r="M23" i="17"/>
  <c r="R23" i="17" s="1"/>
  <c r="U23" i="17" s="1"/>
  <c r="N23" i="17"/>
  <c r="W4" i="13"/>
  <c r="H20" i="13" s="1"/>
  <c r="E24" i="7"/>
  <c r="K23" i="7" s="1"/>
  <c r="S23" i="7" s="1"/>
  <c r="H8" i="7"/>
  <c r="V8" i="7" s="1"/>
  <c r="I24" i="7" s="1"/>
  <c r="I20" i="13"/>
  <c r="J8" i="7"/>
  <c r="Y8" i="7"/>
  <c r="I8" i="7"/>
  <c r="D9" i="7"/>
  <c r="D25" i="7" s="1"/>
  <c r="F5" i="13"/>
  <c r="F21" i="13" s="1"/>
  <c r="AD22" i="17"/>
  <c r="AE22" i="17" s="1"/>
  <c r="AF22" i="17"/>
  <c r="AG22" i="17" s="1"/>
  <c r="L20" i="13"/>
  <c r="T22" i="15"/>
  <c r="V22" i="15" s="1"/>
  <c r="X22" i="15"/>
  <c r="Y22" i="15" s="1"/>
  <c r="O23" i="15"/>
  <c r="P23" i="15" s="1"/>
  <c r="W23" i="15"/>
  <c r="K19" i="13"/>
  <c r="S19" i="13" s="1"/>
  <c r="I23" i="10"/>
  <c r="G8" i="15"/>
  <c r="F24" i="15"/>
  <c r="E8" i="15"/>
  <c r="V8" i="11"/>
  <c r="I24" i="11" s="1"/>
  <c r="AD19" i="2"/>
  <c r="AE19" i="2" s="1"/>
  <c r="AB23" i="7"/>
  <c r="AC23" i="7" s="1"/>
  <c r="Z23" i="7"/>
  <c r="AA23" i="7" s="1"/>
  <c r="F8" i="10"/>
  <c r="G8" i="10" s="1"/>
  <c r="AB19" i="13"/>
  <c r="AC19" i="13" s="1"/>
  <c r="AF22" i="7"/>
  <c r="AG22" i="7" s="1"/>
  <c r="AD22" i="7"/>
  <c r="AE22" i="7" s="1"/>
  <c r="F9" i="11"/>
  <c r="E9" i="11" s="1"/>
  <c r="M24" i="7"/>
  <c r="N24" i="7"/>
  <c r="R23" i="7"/>
  <c r="U23" i="7" s="1"/>
  <c r="AL21" i="10"/>
  <c r="L23" i="10"/>
  <c r="J22" i="10"/>
  <c r="K22" i="10"/>
  <c r="S22" i="10" s="1"/>
  <c r="Z22" i="10"/>
  <c r="AA22" i="10" s="1"/>
  <c r="AB22" i="10"/>
  <c r="AC22" i="10" s="1"/>
  <c r="W7" i="10"/>
  <c r="H23" i="10" s="1"/>
  <c r="H24" i="11"/>
  <c r="N23" i="10"/>
  <c r="M23" i="10"/>
  <c r="AL18" i="13"/>
  <c r="AL22" i="11"/>
  <c r="O20" i="2"/>
  <c r="P20" i="2"/>
  <c r="S20" i="2" s="1"/>
  <c r="T20" i="2" s="1"/>
  <c r="Z23" i="11"/>
  <c r="AA23" i="11" s="1"/>
  <c r="AB23" i="11"/>
  <c r="AC23" i="11" s="1"/>
  <c r="L24" i="11"/>
  <c r="K23" i="11"/>
  <c r="S23" i="11" s="1"/>
  <c r="J23" i="11"/>
  <c r="E24" i="12"/>
  <c r="W8" i="12"/>
  <c r="Y8" i="12"/>
  <c r="J8" i="12"/>
  <c r="I8" i="12"/>
  <c r="H8" i="12"/>
  <c r="V8" i="12"/>
  <c r="X8" i="12"/>
  <c r="X22" i="14"/>
  <c r="Y22" i="14" s="1"/>
  <c r="T22" i="14"/>
  <c r="V22" i="14" s="1"/>
  <c r="O23" i="14"/>
  <c r="P23" i="14" s="1"/>
  <c r="Q23" i="14" s="1"/>
  <c r="W23" i="14"/>
  <c r="G8" i="14"/>
  <c r="E8" i="14"/>
  <c r="F24" i="14"/>
  <c r="D9" i="12"/>
  <c r="D25" i="12" s="1"/>
  <c r="G24" i="12"/>
  <c r="F6" i="2"/>
  <c r="L21" i="2"/>
  <c r="K21" i="2"/>
  <c r="T19" i="13"/>
  <c r="V19" i="13" s="1"/>
  <c r="X19" i="13"/>
  <c r="Y19" i="13" s="1"/>
  <c r="W20" i="13"/>
  <c r="O20" i="13"/>
  <c r="P20" i="13" s="1"/>
  <c r="N24" i="11"/>
  <c r="M24" i="11"/>
  <c r="AI22" i="17"/>
  <c r="AH22" i="17"/>
  <c r="AI22" i="21"/>
  <c r="AI22" i="7"/>
  <c r="AH22" i="22"/>
  <c r="AH22" i="19"/>
  <c r="AH22" i="21"/>
  <c r="AH22" i="7"/>
  <c r="AG19" i="2"/>
  <c r="D10" i="28" l="1"/>
  <c r="D26" i="28" s="1"/>
  <c r="Z23" i="21"/>
  <c r="AA23" i="21" s="1"/>
  <c r="H25" i="28"/>
  <c r="I24" i="21"/>
  <c r="I25" i="28"/>
  <c r="F10" i="28"/>
  <c r="M25" i="28"/>
  <c r="N25" i="28"/>
  <c r="K25" i="28"/>
  <c r="J25" i="28"/>
  <c r="L25" i="28"/>
  <c r="G9" i="19"/>
  <c r="D10" i="19" s="1"/>
  <c r="D26" i="19" s="1"/>
  <c r="AF22" i="22"/>
  <c r="AG22" i="22" s="1"/>
  <c r="AL22" i="19"/>
  <c r="O23" i="22"/>
  <c r="P23" i="22" s="1"/>
  <c r="W23" i="22"/>
  <c r="F9" i="27"/>
  <c r="G9" i="27" s="1"/>
  <c r="H21" i="25"/>
  <c r="Q23" i="26"/>
  <c r="R20" i="25"/>
  <c r="U20" i="25" s="1"/>
  <c r="F25" i="19"/>
  <c r="AL22" i="21"/>
  <c r="I8" i="23"/>
  <c r="H8" i="23"/>
  <c r="W8" i="23" s="1"/>
  <c r="J8" i="23"/>
  <c r="Y8" i="23"/>
  <c r="X8" i="23"/>
  <c r="E24" i="23"/>
  <c r="D9" i="23"/>
  <c r="D25" i="23" s="1"/>
  <c r="G24" i="23"/>
  <c r="Z20" i="25"/>
  <c r="AA20" i="25" s="1"/>
  <c r="W8" i="21"/>
  <c r="H24" i="21" s="1"/>
  <c r="D9" i="26"/>
  <c r="T22" i="24"/>
  <c r="V22" i="24" s="1"/>
  <c r="X22" i="24"/>
  <c r="Y22" i="24" s="1"/>
  <c r="AD22" i="23"/>
  <c r="AE22" i="23" s="1"/>
  <c r="AF22" i="23"/>
  <c r="AG22" i="23" s="1"/>
  <c r="J24" i="27"/>
  <c r="K24" i="27"/>
  <c r="L24" i="27"/>
  <c r="AF19" i="25"/>
  <c r="AG19" i="25" s="1"/>
  <c r="AD19" i="25"/>
  <c r="AE19" i="25" s="1"/>
  <c r="Q23" i="23"/>
  <c r="N24" i="27"/>
  <c r="M24" i="27"/>
  <c r="V5" i="25"/>
  <c r="I21" i="25" s="1"/>
  <c r="W23" i="24"/>
  <c r="O23" i="24"/>
  <c r="P23" i="24" s="1"/>
  <c r="R23" i="24" s="1"/>
  <c r="U23" i="24" s="1"/>
  <c r="Y8" i="26"/>
  <c r="J8" i="26"/>
  <c r="I8" i="26"/>
  <c r="X8" i="26"/>
  <c r="H8" i="26"/>
  <c r="V8" i="26" s="1"/>
  <c r="L21" i="25"/>
  <c r="K20" i="25"/>
  <c r="S20" i="25" s="1"/>
  <c r="J20" i="25"/>
  <c r="F9" i="21"/>
  <c r="F6" i="25"/>
  <c r="N21" i="25"/>
  <c r="M21" i="25"/>
  <c r="L24" i="21"/>
  <c r="J23" i="21"/>
  <c r="K23" i="21"/>
  <c r="S23" i="21" s="1"/>
  <c r="E8" i="24"/>
  <c r="F24" i="24"/>
  <c r="G8" i="24"/>
  <c r="N24" i="21"/>
  <c r="M24" i="21"/>
  <c r="I24" i="19"/>
  <c r="X23" i="19"/>
  <c r="Y23" i="19" s="1"/>
  <c r="AD23" i="19" s="1"/>
  <c r="AE23" i="19" s="1"/>
  <c r="I24" i="22"/>
  <c r="W8" i="19"/>
  <c r="H24" i="19" s="1"/>
  <c r="AF23" i="19"/>
  <c r="AG23" i="19" s="1"/>
  <c r="W24" i="19"/>
  <c r="W8" i="22"/>
  <c r="H24" i="22" s="1"/>
  <c r="L24" i="22"/>
  <c r="K23" i="22"/>
  <c r="S23" i="22" s="1"/>
  <c r="J23" i="22"/>
  <c r="N24" i="22"/>
  <c r="M24" i="22"/>
  <c r="F9" i="22"/>
  <c r="G8" i="16"/>
  <c r="E8" i="16"/>
  <c r="F24" i="16"/>
  <c r="W23" i="16"/>
  <c r="O23" i="16"/>
  <c r="P23" i="16" s="1"/>
  <c r="T22" i="16"/>
  <c r="V22" i="16" s="1"/>
  <c r="AF22" i="16" s="1"/>
  <c r="AG22" i="16" s="1"/>
  <c r="X22" i="16"/>
  <c r="Y22" i="16" s="1"/>
  <c r="W23" i="18"/>
  <c r="O23" i="18"/>
  <c r="P23" i="18" s="1"/>
  <c r="L24" i="7"/>
  <c r="T22" i="18"/>
  <c r="V22" i="18" s="1"/>
  <c r="X22" i="18"/>
  <c r="Y22" i="18" s="1"/>
  <c r="Q23" i="17"/>
  <c r="E8" i="18"/>
  <c r="F24" i="18"/>
  <c r="G8" i="18"/>
  <c r="J23" i="7"/>
  <c r="T23" i="7" s="1"/>
  <c r="V23" i="7" s="1"/>
  <c r="W23" i="17"/>
  <c r="O23" i="17"/>
  <c r="P23" i="17" s="1"/>
  <c r="E8" i="17"/>
  <c r="G8" i="17"/>
  <c r="F24" i="17"/>
  <c r="F9" i="7"/>
  <c r="E9" i="7" s="1"/>
  <c r="W8" i="7"/>
  <c r="H24" i="7" s="1"/>
  <c r="Z24" i="19"/>
  <c r="AA24" i="19" s="1"/>
  <c r="AB24" i="19"/>
  <c r="AC24" i="19" s="1"/>
  <c r="R24" i="19"/>
  <c r="U24" i="19" s="1"/>
  <c r="X9" i="19"/>
  <c r="E25" i="19"/>
  <c r="Y9" i="19"/>
  <c r="J9" i="19"/>
  <c r="I9" i="19"/>
  <c r="G5" i="13"/>
  <c r="E5" i="13"/>
  <c r="E21" i="13" s="1"/>
  <c r="J20" i="13" s="1"/>
  <c r="T20" i="13" s="1"/>
  <c r="AL22" i="17"/>
  <c r="K23" i="17"/>
  <c r="S23" i="17" s="1"/>
  <c r="J23" i="17"/>
  <c r="Z23" i="17"/>
  <c r="AA23" i="17" s="1"/>
  <c r="AB23" i="17"/>
  <c r="AC23" i="17" s="1"/>
  <c r="R20" i="13"/>
  <c r="U20" i="13" s="1"/>
  <c r="E24" i="15"/>
  <c r="H8" i="15"/>
  <c r="V8" i="15" s="1"/>
  <c r="X8" i="15"/>
  <c r="I8" i="15"/>
  <c r="J8" i="15"/>
  <c r="Y8" i="15"/>
  <c r="G24" i="15"/>
  <c r="D9" i="15"/>
  <c r="D25" i="15" s="1"/>
  <c r="R23" i="15"/>
  <c r="U23" i="15" s="1"/>
  <c r="Q23" i="15"/>
  <c r="AD22" i="15"/>
  <c r="AE22" i="15" s="1"/>
  <c r="AF22" i="15"/>
  <c r="AG22" i="15" s="1"/>
  <c r="AJ19" i="2"/>
  <c r="F25" i="11"/>
  <c r="G9" i="11"/>
  <c r="H9" i="11" s="1"/>
  <c r="V9" i="11" s="1"/>
  <c r="AL22" i="7"/>
  <c r="W24" i="7"/>
  <c r="O24" i="7"/>
  <c r="P24" i="7" s="1"/>
  <c r="E8" i="10"/>
  <c r="H8" i="10" s="1"/>
  <c r="V8" i="10" s="1"/>
  <c r="F24" i="10"/>
  <c r="H24" i="12"/>
  <c r="T22" i="10"/>
  <c r="V22" i="10" s="1"/>
  <c r="AF22" i="10" s="1"/>
  <c r="AG22" i="10" s="1"/>
  <c r="X22" i="10"/>
  <c r="Y22" i="10" s="1"/>
  <c r="G24" i="10"/>
  <c r="D9" i="10"/>
  <c r="O23" i="10"/>
  <c r="P23" i="10" s="1"/>
  <c r="W23" i="10"/>
  <c r="Z23" i="14"/>
  <c r="AA23" i="14" s="1"/>
  <c r="AB23" i="14"/>
  <c r="AC23" i="14" s="1"/>
  <c r="F9" i="12"/>
  <c r="Q20" i="13"/>
  <c r="AF22" i="14"/>
  <c r="AG22" i="14" s="1"/>
  <c r="AD22" i="14"/>
  <c r="AE22" i="14" s="1"/>
  <c r="R21" i="2"/>
  <c r="Q21" i="2"/>
  <c r="U21" i="2"/>
  <c r="V21" i="2" s="1"/>
  <c r="W21" i="2" s="1"/>
  <c r="M21" i="2"/>
  <c r="N21" i="2" s="1"/>
  <c r="N24" i="12"/>
  <c r="M24" i="12"/>
  <c r="I24" i="12"/>
  <c r="X20" i="2"/>
  <c r="Y20" i="2" s="1"/>
  <c r="AB20" i="2" s="1"/>
  <c r="AC20" i="2" s="1"/>
  <c r="Z20" i="2"/>
  <c r="AA20" i="2" s="1"/>
  <c r="D9" i="14"/>
  <c r="D25" i="14" s="1"/>
  <c r="G24" i="14"/>
  <c r="X9" i="11"/>
  <c r="J9" i="11"/>
  <c r="I9" i="11"/>
  <c r="Y9" i="11"/>
  <c r="E25" i="11"/>
  <c r="J8" i="14"/>
  <c r="I8" i="14"/>
  <c r="Y8" i="14"/>
  <c r="X8" i="14"/>
  <c r="E24" i="14"/>
  <c r="H8" i="14"/>
  <c r="W8" i="14" s="1"/>
  <c r="AD19" i="13"/>
  <c r="AE19" i="13" s="1"/>
  <c r="R23" i="14"/>
  <c r="U23" i="14" s="1"/>
  <c r="L24" i="12"/>
  <c r="K24" i="12"/>
  <c r="J24" i="12"/>
  <c r="T23" i="11"/>
  <c r="V23" i="11" s="1"/>
  <c r="AF23" i="11" s="1"/>
  <c r="AG23" i="11" s="1"/>
  <c r="X23" i="11"/>
  <c r="Y23" i="11" s="1"/>
  <c r="O24" i="11"/>
  <c r="P24" i="11" s="1"/>
  <c r="R24" i="11" s="1"/>
  <c r="U24" i="11" s="1"/>
  <c r="W24" i="11"/>
  <c r="G6" i="2"/>
  <c r="F22" i="2"/>
  <c r="AF19" i="13"/>
  <c r="AG19" i="13" s="1"/>
  <c r="AI19" i="25"/>
  <c r="AI23" i="19"/>
  <c r="AI22" i="22"/>
  <c r="AI22" i="23"/>
  <c r="AH22" i="15"/>
  <c r="AI22" i="14"/>
  <c r="AH19" i="25"/>
  <c r="AI22" i="16"/>
  <c r="AF20" i="2"/>
  <c r="AH23" i="19"/>
  <c r="AI22" i="15"/>
  <c r="AH19" i="13"/>
  <c r="AI22" i="10"/>
  <c r="AH22" i="23"/>
  <c r="AI19" i="13"/>
  <c r="AI23" i="11"/>
  <c r="AH22" i="14"/>
  <c r="H9" i="19" l="1"/>
  <c r="W9" i="19" s="1"/>
  <c r="G25" i="19"/>
  <c r="AF25" i="28"/>
  <c r="AG25" i="28" s="1"/>
  <c r="R25" i="28"/>
  <c r="AE25" i="28"/>
  <c r="Q25" i="28"/>
  <c r="AD25" i="28"/>
  <c r="P25" i="28"/>
  <c r="Y25" i="28"/>
  <c r="AL25" i="28"/>
  <c r="V25" i="28"/>
  <c r="X25" i="28"/>
  <c r="U25" i="28"/>
  <c r="AH25" i="28"/>
  <c r="W25" i="28"/>
  <c r="T25" i="28"/>
  <c r="AC25" i="28"/>
  <c r="Z25" i="28"/>
  <c r="AB25" i="28"/>
  <c r="AA25" i="28"/>
  <c r="S25" i="28"/>
  <c r="O25" i="28"/>
  <c r="AI25" i="28"/>
  <c r="F26" i="28"/>
  <c r="G10" i="28"/>
  <c r="E10" i="28"/>
  <c r="AL22" i="22"/>
  <c r="E9" i="27"/>
  <c r="W9" i="27" s="1"/>
  <c r="F25" i="27"/>
  <c r="R23" i="22"/>
  <c r="U23" i="22" s="1"/>
  <c r="Q23" i="22"/>
  <c r="Q23" i="24"/>
  <c r="Z23" i="24" s="1"/>
  <c r="AA23" i="24" s="1"/>
  <c r="AB23" i="26"/>
  <c r="AC23" i="26" s="1"/>
  <c r="Z23" i="26"/>
  <c r="AA23" i="26" s="1"/>
  <c r="AL22" i="23"/>
  <c r="AL19" i="25"/>
  <c r="O24" i="21"/>
  <c r="P24" i="21" s="1"/>
  <c r="Q24" i="21" s="1"/>
  <c r="AB24" i="21" s="1"/>
  <c r="AC24" i="21" s="1"/>
  <c r="W24" i="21"/>
  <c r="E6" i="25"/>
  <c r="G6" i="25"/>
  <c r="F22" i="25"/>
  <c r="F25" i="21"/>
  <c r="E9" i="21"/>
  <c r="G9" i="21"/>
  <c r="L24" i="23"/>
  <c r="K23" i="23"/>
  <c r="S23" i="23" s="1"/>
  <c r="J23" i="23"/>
  <c r="D9" i="24"/>
  <c r="D25" i="24" s="1"/>
  <c r="G24" i="24"/>
  <c r="T20" i="25"/>
  <c r="V20" i="25" s="1"/>
  <c r="AF20" i="25" s="1"/>
  <c r="AG20" i="25" s="1"/>
  <c r="X20" i="25"/>
  <c r="Y20" i="25" s="1"/>
  <c r="V8" i="23"/>
  <c r="I24" i="23" s="1"/>
  <c r="O24" i="27"/>
  <c r="V24" i="27"/>
  <c r="Z24" i="27"/>
  <c r="U24" i="27"/>
  <c r="AL24" i="27"/>
  <c r="Q24" i="27"/>
  <c r="T24" i="27"/>
  <c r="AA24" i="27"/>
  <c r="X24" i="27"/>
  <c r="AI24" i="27"/>
  <c r="Y24" i="27"/>
  <c r="AH24" i="27"/>
  <c r="W24" i="27"/>
  <c r="AD24" i="27"/>
  <c r="AF24" i="27"/>
  <c r="AG24" i="27" s="1"/>
  <c r="AB24" i="27"/>
  <c r="AE24" i="27"/>
  <c r="R24" i="27"/>
  <c r="S24" i="27"/>
  <c r="P24" i="27"/>
  <c r="AC24" i="27"/>
  <c r="D25" i="26"/>
  <c r="F9" i="26"/>
  <c r="H24" i="23"/>
  <c r="AD22" i="24"/>
  <c r="AE22" i="24" s="1"/>
  <c r="AF22" i="24"/>
  <c r="AG22" i="24" s="1"/>
  <c r="J9" i="27"/>
  <c r="H9" i="27"/>
  <c r="I9" i="27"/>
  <c r="Y9" i="27"/>
  <c r="X9" i="27"/>
  <c r="V9" i="27"/>
  <c r="M24" i="26"/>
  <c r="R24" i="26" s="1"/>
  <c r="U24" i="26" s="1"/>
  <c r="N24" i="26"/>
  <c r="E24" i="24"/>
  <c r="J8" i="24"/>
  <c r="I8" i="24"/>
  <c r="Y8" i="24"/>
  <c r="X8" i="24"/>
  <c r="H8" i="24"/>
  <c r="W8" i="24" s="1"/>
  <c r="T23" i="21"/>
  <c r="V23" i="21" s="1"/>
  <c r="X23" i="21"/>
  <c r="Y23" i="21" s="1"/>
  <c r="AB23" i="23"/>
  <c r="AC23" i="23" s="1"/>
  <c r="Z23" i="23"/>
  <c r="AA23" i="23" s="1"/>
  <c r="M24" i="23"/>
  <c r="N24" i="23"/>
  <c r="D10" i="27"/>
  <c r="D26" i="27" s="1"/>
  <c r="G25" i="27"/>
  <c r="W21" i="25"/>
  <c r="O21" i="25"/>
  <c r="P21" i="25" s="1"/>
  <c r="Q21" i="25" s="1"/>
  <c r="R21" i="25"/>
  <c r="U21" i="25" s="1"/>
  <c r="F9" i="23"/>
  <c r="G21" i="13"/>
  <c r="M21" i="13" s="1"/>
  <c r="W21" i="13" s="1"/>
  <c r="D6" i="13"/>
  <c r="F6" i="13" s="1"/>
  <c r="E6" i="13" s="1"/>
  <c r="G9" i="22"/>
  <c r="E9" i="22"/>
  <c r="F25" i="22"/>
  <c r="O24" i="22"/>
  <c r="P24" i="22" s="1"/>
  <c r="R24" i="22" s="1"/>
  <c r="W24" i="22"/>
  <c r="T23" i="22"/>
  <c r="X23" i="22"/>
  <c r="Y23" i="22" s="1"/>
  <c r="R24" i="7"/>
  <c r="U24" i="7" s="1"/>
  <c r="G9" i="7"/>
  <c r="G25" i="7" s="1"/>
  <c r="AL23" i="19"/>
  <c r="Q23" i="16"/>
  <c r="R23" i="16"/>
  <c r="U23" i="16" s="1"/>
  <c r="E24" i="16"/>
  <c r="X8" i="16"/>
  <c r="H8" i="16"/>
  <c r="J8" i="16"/>
  <c r="I8" i="16"/>
  <c r="Y8" i="16"/>
  <c r="D9" i="16"/>
  <c r="G24" i="16"/>
  <c r="AD22" i="16"/>
  <c r="AE22" i="16" s="1"/>
  <c r="W8" i="15"/>
  <c r="H24" i="15" s="1"/>
  <c r="D9" i="18"/>
  <c r="D25" i="18" s="1"/>
  <c r="G24" i="18"/>
  <c r="J8" i="18"/>
  <c r="E24" i="18"/>
  <c r="H8" i="18"/>
  <c r="W8" i="18" s="1"/>
  <c r="X8" i="18"/>
  <c r="Y8" i="18"/>
  <c r="I8" i="18"/>
  <c r="X23" i="7"/>
  <c r="Y23" i="7" s="1"/>
  <c r="AD23" i="7" s="1"/>
  <c r="AE23" i="7" s="1"/>
  <c r="AD22" i="18"/>
  <c r="AE22" i="18" s="1"/>
  <c r="AF22" i="18"/>
  <c r="AG22" i="18" s="1"/>
  <c r="V20" i="13"/>
  <c r="R23" i="18"/>
  <c r="U23" i="18" s="1"/>
  <c r="Q23" i="18"/>
  <c r="F25" i="7"/>
  <c r="D9" i="17"/>
  <c r="D25" i="17" s="1"/>
  <c r="G24" i="17"/>
  <c r="E24" i="17"/>
  <c r="L24" i="17" s="1"/>
  <c r="H8" i="17"/>
  <c r="W8" i="17" s="1"/>
  <c r="I8" i="17"/>
  <c r="X8" i="17"/>
  <c r="J8" i="17"/>
  <c r="Y8" i="17"/>
  <c r="V8" i="17"/>
  <c r="K20" i="13"/>
  <c r="S20" i="13" s="1"/>
  <c r="L21" i="13"/>
  <c r="H5" i="13"/>
  <c r="V5" i="13" s="1"/>
  <c r="H25" i="19"/>
  <c r="N25" i="19"/>
  <c r="M25" i="19"/>
  <c r="V9" i="19"/>
  <c r="I25" i="19" s="1"/>
  <c r="F10" i="19"/>
  <c r="L25" i="19"/>
  <c r="J24" i="19"/>
  <c r="K24" i="19"/>
  <c r="S24" i="19" s="1"/>
  <c r="AD20" i="2"/>
  <c r="AE20" i="2" s="1"/>
  <c r="J5" i="13"/>
  <c r="X5" i="13"/>
  <c r="I5" i="13"/>
  <c r="Y5" i="13"/>
  <c r="G25" i="11"/>
  <c r="M25" i="11" s="1"/>
  <c r="T23" i="17"/>
  <c r="V23" i="17" s="1"/>
  <c r="AF23" i="17" s="1"/>
  <c r="AG23" i="17" s="1"/>
  <c r="X23" i="17"/>
  <c r="Y23" i="17" s="1"/>
  <c r="I24" i="15"/>
  <c r="AL22" i="15"/>
  <c r="AB23" i="15"/>
  <c r="AC23" i="15" s="1"/>
  <c r="Z23" i="15"/>
  <c r="AA23" i="15" s="1"/>
  <c r="D10" i="11"/>
  <c r="D26" i="11" s="1"/>
  <c r="N24" i="15"/>
  <c r="M24" i="15"/>
  <c r="L24" i="15"/>
  <c r="K23" i="15"/>
  <c r="S23" i="15" s="1"/>
  <c r="J23" i="15"/>
  <c r="F9" i="15"/>
  <c r="Q24" i="7"/>
  <c r="I8" i="10"/>
  <c r="H24" i="14"/>
  <c r="E24" i="10"/>
  <c r="X8" i="10"/>
  <c r="I24" i="10" s="1"/>
  <c r="Q24" i="11"/>
  <c r="AB24" i="11" s="1"/>
  <c r="AC24" i="11" s="1"/>
  <c r="AD22" i="10"/>
  <c r="AE22" i="10" s="1"/>
  <c r="I9" i="7"/>
  <c r="E25" i="7"/>
  <c r="X9" i="7"/>
  <c r="Y9" i="7"/>
  <c r="Y8" i="10"/>
  <c r="AD23" i="11"/>
  <c r="AE23" i="11" s="1"/>
  <c r="J8" i="10"/>
  <c r="AF23" i="7"/>
  <c r="AG23" i="7" s="1"/>
  <c r="W8" i="10"/>
  <c r="R23" i="10"/>
  <c r="U23" i="10" s="1"/>
  <c r="Q23" i="10"/>
  <c r="I25" i="11"/>
  <c r="D25" i="10"/>
  <c r="F9" i="10"/>
  <c r="M24" i="10"/>
  <c r="N24" i="10"/>
  <c r="AL22" i="14"/>
  <c r="AL19" i="13"/>
  <c r="P21" i="2"/>
  <c r="S21" i="2" s="1"/>
  <c r="T21" i="2" s="1"/>
  <c r="O21" i="2"/>
  <c r="W9" i="11"/>
  <c r="H25" i="11" s="1"/>
  <c r="Z24" i="12"/>
  <c r="U24" i="12"/>
  <c r="AA24" i="12"/>
  <c r="O24" i="12"/>
  <c r="P24" i="12"/>
  <c r="S24" i="12"/>
  <c r="Q24" i="12"/>
  <c r="R24" i="12"/>
  <c r="W24" i="12"/>
  <c r="V24" i="12"/>
  <c r="T24" i="12"/>
  <c r="Y24" i="12"/>
  <c r="AL24" i="12"/>
  <c r="X24" i="12"/>
  <c r="AD24" i="12"/>
  <c r="AB24" i="12"/>
  <c r="AE24" i="12"/>
  <c r="AF24" i="12"/>
  <c r="AG24" i="12" s="1"/>
  <c r="AH24" i="12"/>
  <c r="AC24" i="12"/>
  <c r="AI24" i="12"/>
  <c r="AB20" i="13"/>
  <c r="AC20" i="13" s="1"/>
  <c r="Z20" i="13"/>
  <c r="AA20" i="13" s="1"/>
  <c r="V8" i="14"/>
  <c r="I24" i="14" s="1"/>
  <c r="F25" i="12"/>
  <c r="E9" i="12"/>
  <c r="G9" i="12"/>
  <c r="D7" i="2"/>
  <c r="D23" i="2" s="1"/>
  <c r="G22" i="2"/>
  <c r="H6" i="2"/>
  <c r="U6" i="2" s="1"/>
  <c r="I22" i="2" s="1"/>
  <c r="L25" i="11"/>
  <c r="J24" i="11"/>
  <c r="T24" i="11" s="1"/>
  <c r="V24" i="11" s="1"/>
  <c r="K24" i="11"/>
  <c r="S24" i="11" s="1"/>
  <c r="L24" i="14"/>
  <c r="J23" i="14"/>
  <c r="K23" i="14"/>
  <c r="S23" i="14" s="1"/>
  <c r="F9" i="14"/>
  <c r="X20" i="13"/>
  <c r="Y20" i="13" s="1"/>
  <c r="M24" i="14"/>
  <c r="N24" i="14"/>
  <c r="AI23" i="17"/>
  <c r="AI23" i="7"/>
  <c r="AH23" i="11"/>
  <c r="AH23" i="7"/>
  <c r="AH22" i="10"/>
  <c r="AI20" i="25"/>
  <c r="AG20" i="2"/>
  <c r="AH22" i="24"/>
  <c r="AH22" i="18"/>
  <c r="AI22" i="18"/>
  <c r="AH22" i="16"/>
  <c r="AI22" i="24"/>
  <c r="V23" i="22" l="1"/>
  <c r="U24" i="22"/>
  <c r="E25" i="27"/>
  <c r="AB23" i="24"/>
  <c r="AC23" i="24" s="1"/>
  <c r="J10" i="28"/>
  <c r="I10" i="28"/>
  <c r="H10" i="28"/>
  <c r="Y10" i="28"/>
  <c r="X10" i="28"/>
  <c r="E26" i="28"/>
  <c r="V10" i="28"/>
  <c r="W10" i="28"/>
  <c r="D11" i="28"/>
  <c r="D27" i="28" s="1"/>
  <c r="G26" i="28"/>
  <c r="H24" i="24"/>
  <c r="R24" i="21"/>
  <c r="U24" i="21" s="1"/>
  <c r="AD20" i="25"/>
  <c r="AE20" i="25" s="1"/>
  <c r="AB23" i="22"/>
  <c r="AC23" i="22" s="1"/>
  <c r="Z23" i="22"/>
  <c r="AA23" i="22" s="1"/>
  <c r="AD23" i="22" s="1"/>
  <c r="AE23" i="22" s="1"/>
  <c r="D10" i="7"/>
  <c r="D26" i="7" s="1"/>
  <c r="H9" i="7"/>
  <c r="W9" i="7" s="1"/>
  <c r="H25" i="7" s="1"/>
  <c r="Z21" i="25"/>
  <c r="AA21" i="25" s="1"/>
  <c r="AB21" i="25"/>
  <c r="AC21" i="25" s="1"/>
  <c r="O24" i="23"/>
  <c r="P24" i="23" s="1"/>
  <c r="R24" i="23" s="1"/>
  <c r="U24" i="23" s="1"/>
  <c r="V8" i="24"/>
  <c r="I24" i="24" s="1"/>
  <c r="Q24" i="26"/>
  <c r="AL22" i="24"/>
  <c r="H25" i="27"/>
  <c r="N24" i="24"/>
  <c r="M24" i="24"/>
  <c r="F10" i="27"/>
  <c r="F9" i="24"/>
  <c r="H6" i="25"/>
  <c r="W6" i="25" s="1"/>
  <c r="I6" i="25"/>
  <c r="E22" i="25"/>
  <c r="J6" i="25"/>
  <c r="Y6" i="25"/>
  <c r="X6" i="25"/>
  <c r="N25" i="27"/>
  <c r="M25" i="27"/>
  <c r="Z24" i="21"/>
  <c r="AA24" i="21" s="1"/>
  <c r="T23" i="23"/>
  <c r="V23" i="23" s="1"/>
  <c r="AF23" i="23" s="1"/>
  <c r="AG23" i="23" s="1"/>
  <c r="X23" i="23"/>
  <c r="Y23" i="23" s="1"/>
  <c r="O24" i="26"/>
  <c r="P24" i="26" s="1"/>
  <c r="W24" i="26"/>
  <c r="J9" i="21"/>
  <c r="I9" i="21"/>
  <c r="H9" i="21"/>
  <c r="V9" i="21" s="1"/>
  <c r="X9" i="21"/>
  <c r="Y9" i="21"/>
  <c r="E25" i="21"/>
  <c r="L24" i="24"/>
  <c r="J23" i="24"/>
  <c r="K23" i="24"/>
  <c r="S23" i="24" s="1"/>
  <c r="G25" i="21"/>
  <c r="D10" i="21"/>
  <c r="D26" i="21" s="1"/>
  <c r="L25" i="27"/>
  <c r="J25" i="27"/>
  <c r="K25" i="27"/>
  <c r="W24" i="23"/>
  <c r="G9" i="23"/>
  <c r="F25" i="23"/>
  <c r="E9" i="23"/>
  <c r="AF23" i="21"/>
  <c r="AG23" i="21" s="1"/>
  <c r="AD23" i="21"/>
  <c r="AE23" i="21" s="1"/>
  <c r="I25" i="27"/>
  <c r="G9" i="26"/>
  <c r="F25" i="26"/>
  <c r="E9" i="26"/>
  <c r="D7" i="25"/>
  <c r="D23" i="25" s="1"/>
  <c r="G22" i="25"/>
  <c r="N21" i="13"/>
  <c r="O21" i="13" s="1"/>
  <c r="P21" i="13" s="1"/>
  <c r="R21" i="13" s="1"/>
  <c r="U21" i="13" s="1"/>
  <c r="D22" i="13"/>
  <c r="S24" i="26"/>
  <c r="Z24" i="26"/>
  <c r="AA24" i="26" s="1"/>
  <c r="AB24" i="26"/>
  <c r="AC24" i="26" s="1"/>
  <c r="J9" i="7"/>
  <c r="V8" i="18"/>
  <c r="I24" i="18" s="1"/>
  <c r="Q24" i="22"/>
  <c r="E25" i="22"/>
  <c r="Y9" i="22"/>
  <c r="X9" i="22"/>
  <c r="J9" i="22"/>
  <c r="H9" i="22"/>
  <c r="W9" i="22" s="1"/>
  <c r="I9" i="22"/>
  <c r="AF23" i="22"/>
  <c r="AG23" i="22" s="1"/>
  <c r="D10" i="22"/>
  <c r="D26" i="22" s="1"/>
  <c r="G25" i="22"/>
  <c r="AL22" i="16"/>
  <c r="D25" i="16"/>
  <c r="F9" i="16"/>
  <c r="N24" i="16"/>
  <c r="M24" i="16"/>
  <c r="W8" i="16"/>
  <c r="H24" i="16" s="1"/>
  <c r="V8" i="16"/>
  <c r="I24" i="16" s="1"/>
  <c r="L24" i="16"/>
  <c r="K23" i="16"/>
  <c r="S23" i="16" s="1"/>
  <c r="J23" i="16"/>
  <c r="AB23" i="16"/>
  <c r="AC23" i="16" s="1"/>
  <c r="Z23" i="16"/>
  <c r="AA23" i="16" s="1"/>
  <c r="F9" i="18"/>
  <c r="I21" i="13"/>
  <c r="F9" i="17"/>
  <c r="F25" i="17" s="1"/>
  <c r="AL22" i="18"/>
  <c r="H24" i="18"/>
  <c r="L24" i="18"/>
  <c r="K23" i="18"/>
  <c r="S23" i="18" s="1"/>
  <c r="J23" i="18"/>
  <c r="W5" i="13"/>
  <c r="H21" i="13" s="1"/>
  <c r="I24" i="17"/>
  <c r="N24" i="18"/>
  <c r="M24" i="18"/>
  <c r="Z23" i="18"/>
  <c r="AA23" i="18" s="1"/>
  <c r="AB23" i="18"/>
  <c r="AC23" i="18" s="1"/>
  <c r="H24" i="17"/>
  <c r="N24" i="17"/>
  <c r="M24" i="17"/>
  <c r="Q24" i="17" s="1"/>
  <c r="F22" i="13"/>
  <c r="T24" i="19"/>
  <c r="V24" i="19" s="1"/>
  <c r="X24" i="19"/>
  <c r="Y24" i="19" s="1"/>
  <c r="G10" i="19"/>
  <c r="E10" i="19"/>
  <c r="F26" i="19"/>
  <c r="O25" i="19"/>
  <c r="P25" i="19" s="1"/>
  <c r="W25" i="19"/>
  <c r="AJ20" i="2"/>
  <c r="N25" i="11"/>
  <c r="O25" i="11" s="1"/>
  <c r="P25" i="11" s="1"/>
  <c r="AD23" i="17"/>
  <c r="AE23" i="17" s="1"/>
  <c r="F10" i="11"/>
  <c r="E10" i="11" s="1"/>
  <c r="L24" i="10"/>
  <c r="K23" i="10"/>
  <c r="S23" i="10" s="1"/>
  <c r="J23" i="10"/>
  <c r="T23" i="10" s="1"/>
  <c r="V23" i="10" s="1"/>
  <c r="G9" i="15"/>
  <c r="E9" i="15"/>
  <c r="F25" i="15"/>
  <c r="T23" i="15"/>
  <c r="V23" i="15" s="1"/>
  <c r="X23" i="15"/>
  <c r="Y23" i="15" s="1"/>
  <c r="W24" i="15"/>
  <c r="O24" i="15"/>
  <c r="P24" i="15" s="1"/>
  <c r="Q24" i="15" s="1"/>
  <c r="AB24" i="15" s="1"/>
  <c r="AC24" i="15" s="1"/>
  <c r="AB24" i="7"/>
  <c r="AC24" i="7" s="1"/>
  <c r="Z24" i="7"/>
  <c r="AA24" i="7" s="1"/>
  <c r="AL22" i="10"/>
  <c r="Z24" i="11"/>
  <c r="AA24" i="11" s="1"/>
  <c r="AF24" i="11" s="1"/>
  <c r="AG24" i="11" s="1"/>
  <c r="AL23" i="7"/>
  <c r="AL23" i="11"/>
  <c r="M25" i="7"/>
  <c r="N25" i="7"/>
  <c r="H24" i="10"/>
  <c r="K24" i="7"/>
  <c r="S24" i="7" s="1"/>
  <c r="J24" i="7"/>
  <c r="L25" i="7"/>
  <c r="W24" i="10"/>
  <c r="O24" i="10"/>
  <c r="P24" i="10" s="1"/>
  <c r="AB23" i="10"/>
  <c r="AC23" i="10" s="1"/>
  <c r="Z23" i="10"/>
  <c r="AA23" i="10" s="1"/>
  <c r="AD20" i="13"/>
  <c r="AE20" i="13" s="1"/>
  <c r="G9" i="10"/>
  <c r="F25" i="10"/>
  <c r="E9" i="10"/>
  <c r="D10" i="12"/>
  <c r="D26" i="12" s="1"/>
  <c r="G25" i="12"/>
  <c r="Z21" i="2"/>
  <c r="AA21" i="2" s="1"/>
  <c r="X21" i="2"/>
  <c r="Y21" i="2" s="1"/>
  <c r="AB21" i="2" s="1"/>
  <c r="AC21" i="2" s="1"/>
  <c r="W24" i="14"/>
  <c r="O24" i="14"/>
  <c r="P24" i="14" s="1"/>
  <c r="Q24" i="14" s="1"/>
  <c r="W9" i="12"/>
  <c r="Y9" i="12"/>
  <c r="V9" i="12"/>
  <c r="I9" i="12"/>
  <c r="H9" i="12"/>
  <c r="E25" i="12"/>
  <c r="J9" i="12"/>
  <c r="X9" i="12"/>
  <c r="AF20" i="13"/>
  <c r="AG20" i="13" s="1"/>
  <c r="X24" i="11"/>
  <c r="Y24" i="11" s="1"/>
  <c r="G9" i="14"/>
  <c r="F25" i="14"/>
  <c r="E9" i="14"/>
  <c r="J9" i="14" s="1"/>
  <c r="K22" i="2"/>
  <c r="L22" i="2"/>
  <c r="X23" i="14"/>
  <c r="Y23" i="14" s="1"/>
  <c r="T23" i="14"/>
  <c r="V23" i="14" s="1"/>
  <c r="F7" i="2"/>
  <c r="W25" i="11"/>
  <c r="AH23" i="17"/>
  <c r="AH23" i="21"/>
  <c r="AH20" i="25"/>
  <c r="AI23" i="23"/>
  <c r="AF21" i="2"/>
  <c r="AI23" i="21"/>
  <c r="AI20" i="13"/>
  <c r="AI23" i="22"/>
  <c r="AH23" i="22"/>
  <c r="AI24" i="11"/>
  <c r="AH20" i="13"/>
  <c r="Q21" i="13" l="1"/>
  <c r="H26" i="28"/>
  <c r="I26" i="28"/>
  <c r="M26" i="28"/>
  <c r="N26" i="28"/>
  <c r="F11" i="28"/>
  <c r="L26" i="28"/>
  <c r="K26" i="28"/>
  <c r="J26" i="28"/>
  <c r="AL20" i="25"/>
  <c r="F10" i="7"/>
  <c r="F26" i="7" s="1"/>
  <c r="V9" i="7"/>
  <c r="I25" i="7" s="1"/>
  <c r="Q24" i="23"/>
  <c r="Z24" i="23" s="1"/>
  <c r="AA24" i="23" s="1"/>
  <c r="H22" i="25"/>
  <c r="V6" i="25"/>
  <c r="I22" i="25" s="1"/>
  <c r="F10" i="21"/>
  <c r="G10" i="21" s="1"/>
  <c r="AL23" i="21"/>
  <c r="H9" i="26"/>
  <c r="V9" i="26" s="1"/>
  <c r="X9" i="26"/>
  <c r="J9" i="26"/>
  <c r="E25" i="26"/>
  <c r="L25" i="26" s="1"/>
  <c r="Y9" i="26"/>
  <c r="I9" i="26"/>
  <c r="W9" i="26"/>
  <c r="G10" i="27"/>
  <c r="E10" i="27"/>
  <c r="F26" i="27"/>
  <c r="G25" i="26"/>
  <c r="D10" i="26"/>
  <c r="W9" i="21"/>
  <c r="H25" i="21" s="1"/>
  <c r="W24" i="24"/>
  <c r="O24" i="24"/>
  <c r="P24" i="24" s="1"/>
  <c r="Q24" i="24" s="1"/>
  <c r="L25" i="21"/>
  <c r="J24" i="21"/>
  <c r="K24" i="21"/>
  <c r="S24" i="21" s="1"/>
  <c r="AB25" i="27"/>
  <c r="P25" i="27"/>
  <c r="AH25" i="27"/>
  <c r="Z25" i="27"/>
  <c r="U25" i="27"/>
  <c r="Y25" i="27"/>
  <c r="S25" i="27"/>
  <c r="W25" i="27"/>
  <c r="AD25" i="27"/>
  <c r="AE25" i="27"/>
  <c r="X25" i="27"/>
  <c r="R25" i="27"/>
  <c r="V25" i="27"/>
  <c r="AA25" i="27"/>
  <c r="AI25" i="27"/>
  <c r="AC25" i="27"/>
  <c r="T25" i="27"/>
  <c r="Q25" i="27"/>
  <c r="AF25" i="27"/>
  <c r="AG25" i="27" s="1"/>
  <c r="AL25" i="27"/>
  <c r="O25" i="27"/>
  <c r="I25" i="21"/>
  <c r="E9" i="24"/>
  <c r="G9" i="24"/>
  <c r="F25" i="24"/>
  <c r="D10" i="23"/>
  <c r="D26" i="23" s="1"/>
  <c r="G25" i="23"/>
  <c r="N25" i="21"/>
  <c r="M25" i="21"/>
  <c r="I9" i="23"/>
  <c r="H9" i="23"/>
  <c r="V9" i="23" s="1"/>
  <c r="J9" i="23"/>
  <c r="E25" i="23"/>
  <c r="Y9" i="23"/>
  <c r="X9" i="23"/>
  <c r="F7" i="25"/>
  <c r="AD23" i="23"/>
  <c r="AE23" i="23" s="1"/>
  <c r="L22" i="25"/>
  <c r="J21" i="25"/>
  <c r="K21" i="25"/>
  <c r="S21" i="25" s="1"/>
  <c r="F26" i="21"/>
  <c r="N22" i="25"/>
  <c r="M22" i="25"/>
  <c r="T23" i="24"/>
  <c r="V23" i="24" s="1"/>
  <c r="X23" i="24"/>
  <c r="Y23" i="24" s="1"/>
  <c r="R24" i="17"/>
  <c r="U24" i="17" s="1"/>
  <c r="AD24" i="26"/>
  <c r="AE24" i="26" s="1"/>
  <c r="X24" i="26"/>
  <c r="Y24" i="26" s="1"/>
  <c r="T24" i="26"/>
  <c r="V24" i="26" s="1"/>
  <c r="AF24" i="26" s="1"/>
  <c r="AG24" i="26" s="1"/>
  <c r="H25" i="22"/>
  <c r="V9" i="22"/>
  <c r="I25" i="22" s="1"/>
  <c r="AL23" i="22"/>
  <c r="F10" i="22"/>
  <c r="L25" i="22"/>
  <c r="K24" i="22"/>
  <c r="S24" i="22" s="1"/>
  <c r="J24" i="22"/>
  <c r="AB24" i="22"/>
  <c r="AC24" i="22" s="1"/>
  <c r="Z24" i="22"/>
  <c r="AA24" i="22" s="1"/>
  <c r="M25" i="22"/>
  <c r="N25" i="22"/>
  <c r="T23" i="16"/>
  <c r="V23" i="16" s="1"/>
  <c r="AF23" i="16" s="1"/>
  <c r="AG23" i="16" s="1"/>
  <c r="X23" i="16"/>
  <c r="Y23" i="16" s="1"/>
  <c r="O24" i="16"/>
  <c r="P24" i="16" s="1"/>
  <c r="W24" i="16"/>
  <c r="F25" i="16"/>
  <c r="G9" i="16"/>
  <c r="E9" i="16"/>
  <c r="G9" i="17"/>
  <c r="G25" i="17" s="1"/>
  <c r="N25" i="17" s="1"/>
  <c r="E9" i="18"/>
  <c r="F25" i="18"/>
  <c r="G9" i="18"/>
  <c r="G6" i="13"/>
  <c r="G22" i="13" s="1"/>
  <c r="M22" i="13" s="1"/>
  <c r="F26" i="11"/>
  <c r="G10" i="11"/>
  <c r="G26" i="11" s="1"/>
  <c r="E9" i="17"/>
  <c r="J9" i="17" s="1"/>
  <c r="T23" i="18"/>
  <c r="V23" i="18" s="1"/>
  <c r="X23" i="18"/>
  <c r="Y23" i="18" s="1"/>
  <c r="O24" i="18"/>
  <c r="P24" i="18" s="1"/>
  <c r="W24" i="18"/>
  <c r="W24" i="17"/>
  <c r="O24" i="17"/>
  <c r="P24" i="17" s="1"/>
  <c r="I6" i="13"/>
  <c r="X23" i="10"/>
  <c r="Y23" i="10" s="1"/>
  <c r="AD23" i="10" s="1"/>
  <c r="AE23" i="10" s="1"/>
  <c r="Q25" i="19"/>
  <c r="R25" i="19"/>
  <c r="U25" i="19" s="1"/>
  <c r="Y10" i="19"/>
  <c r="X10" i="19"/>
  <c r="E26" i="19"/>
  <c r="J10" i="19"/>
  <c r="I10" i="19"/>
  <c r="H10" i="19"/>
  <c r="W10" i="19" s="1"/>
  <c r="D11" i="19"/>
  <c r="D27" i="19" s="1"/>
  <c r="G26" i="19"/>
  <c r="AD24" i="19"/>
  <c r="AE24" i="19" s="1"/>
  <c r="AF24" i="19"/>
  <c r="AG24" i="19" s="1"/>
  <c r="AL23" i="17"/>
  <c r="J24" i="17"/>
  <c r="K24" i="17"/>
  <c r="S24" i="17" s="1"/>
  <c r="AB24" i="17"/>
  <c r="AC24" i="17" s="1"/>
  <c r="Z24" i="17"/>
  <c r="AA24" i="17" s="1"/>
  <c r="Z24" i="15"/>
  <c r="AA24" i="15" s="1"/>
  <c r="AD23" i="15"/>
  <c r="AE23" i="15" s="1"/>
  <c r="AD24" i="11"/>
  <c r="AE24" i="11" s="1"/>
  <c r="G25" i="15"/>
  <c r="D10" i="15"/>
  <c r="AF23" i="15"/>
  <c r="AG23" i="15" s="1"/>
  <c r="I9" i="15"/>
  <c r="E25" i="15"/>
  <c r="L25" i="15" s="1"/>
  <c r="H9" i="15"/>
  <c r="W9" i="15" s="1"/>
  <c r="H25" i="15" s="1"/>
  <c r="J9" i="15"/>
  <c r="R24" i="15"/>
  <c r="U24" i="15" s="1"/>
  <c r="T24" i="7"/>
  <c r="V24" i="7" s="1"/>
  <c r="X24" i="7"/>
  <c r="Y24" i="7" s="1"/>
  <c r="W25" i="7"/>
  <c r="O25" i="7"/>
  <c r="P25" i="7" s="1"/>
  <c r="Q25" i="7" s="1"/>
  <c r="Z25" i="7" s="1"/>
  <c r="AA25" i="7" s="1"/>
  <c r="AF23" i="10"/>
  <c r="AG23" i="10" s="1"/>
  <c r="Q24" i="10"/>
  <c r="R24" i="10"/>
  <c r="U24" i="10" s="1"/>
  <c r="Z21" i="13"/>
  <c r="AA21" i="13" s="1"/>
  <c r="AB21" i="13"/>
  <c r="AC21" i="13" s="1"/>
  <c r="H25" i="12"/>
  <c r="H9" i="10"/>
  <c r="Y9" i="10"/>
  <c r="X9" i="10"/>
  <c r="J9" i="10"/>
  <c r="I9" i="10"/>
  <c r="E25" i="10"/>
  <c r="G25" i="10"/>
  <c r="D10" i="10"/>
  <c r="R24" i="14"/>
  <c r="U24" i="14" s="1"/>
  <c r="AL20" i="13"/>
  <c r="R25" i="11"/>
  <c r="U25" i="11" s="1"/>
  <c r="Q25" i="11"/>
  <c r="AB24" i="14"/>
  <c r="AC24" i="14" s="1"/>
  <c r="Z24" i="14"/>
  <c r="AA24" i="14" s="1"/>
  <c r="F10" i="12"/>
  <c r="D10" i="14"/>
  <c r="D26" i="14" s="1"/>
  <c r="G25" i="14"/>
  <c r="G7" i="2"/>
  <c r="F23" i="2"/>
  <c r="AD23" i="14"/>
  <c r="AE23" i="14" s="1"/>
  <c r="AF23" i="14"/>
  <c r="AG23" i="14" s="1"/>
  <c r="L25" i="12"/>
  <c r="K25" i="12"/>
  <c r="J25" i="12"/>
  <c r="AD21" i="2"/>
  <c r="AE21" i="2" s="1"/>
  <c r="E25" i="14"/>
  <c r="H9" i="14"/>
  <c r="I9" i="14"/>
  <c r="M22" i="2"/>
  <c r="N22" i="2" s="1"/>
  <c r="O22" i="2" s="1"/>
  <c r="Q22" i="2"/>
  <c r="U22" i="2"/>
  <c r="V22" i="2" s="1"/>
  <c r="W22" i="2" s="1"/>
  <c r="R22" i="2"/>
  <c r="I25" i="12"/>
  <c r="E26" i="11"/>
  <c r="J10" i="11"/>
  <c r="I10" i="11"/>
  <c r="X10" i="11"/>
  <c r="Y10" i="11"/>
  <c r="M25" i="12"/>
  <c r="N25" i="12"/>
  <c r="AI24" i="26"/>
  <c r="AH24" i="26"/>
  <c r="AI23" i="10"/>
  <c r="AH23" i="14"/>
  <c r="AH24" i="11"/>
  <c r="AI24" i="19"/>
  <c r="AI23" i="14"/>
  <c r="AI23" i="15"/>
  <c r="AH23" i="15"/>
  <c r="AH24" i="19"/>
  <c r="AG21" i="2"/>
  <c r="AI23" i="16"/>
  <c r="AH23" i="23"/>
  <c r="AH23" i="10"/>
  <c r="E10" i="7" l="1"/>
  <c r="E26" i="7" s="1"/>
  <c r="G10" i="7"/>
  <c r="D11" i="7" s="1"/>
  <c r="AB24" i="23"/>
  <c r="AC24" i="23" s="1"/>
  <c r="E10" i="21"/>
  <c r="Y10" i="21" s="1"/>
  <c r="F27" i="28"/>
  <c r="E11" i="28"/>
  <c r="G11" i="28"/>
  <c r="AA26" i="28"/>
  <c r="Z26" i="28"/>
  <c r="Y26" i="28"/>
  <c r="AH26" i="28"/>
  <c r="T26" i="28"/>
  <c r="AE26" i="28"/>
  <c r="AD26" i="28"/>
  <c r="S26" i="28"/>
  <c r="Q26" i="28"/>
  <c r="P26" i="28"/>
  <c r="AC26" i="28"/>
  <c r="AF26" i="28"/>
  <c r="AG26" i="28" s="1"/>
  <c r="R26" i="28"/>
  <c r="O26" i="28"/>
  <c r="AB26" i="28"/>
  <c r="AL26" i="28"/>
  <c r="X26" i="28"/>
  <c r="W26" i="28"/>
  <c r="V26" i="28"/>
  <c r="U26" i="28"/>
  <c r="AI26" i="28"/>
  <c r="W9" i="23"/>
  <c r="H25" i="23" s="1"/>
  <c r="R24" i="24"/>
  <c r="U24" i="24" s="1"/>
  <c r="AB24" i="24"/>
  <c r="AC24" i="24" s="1"/>
  <c r="Z24" i="24"/>
  <c r="AA24" i="24" s="1"/>
  <c r="I25" i="23"/>
  <c r="AL23" i="23"/>
  <c r="X10" i="27"/>
  <c r="Y10" i="27"/>
  <c r="J10" i="27"/>
  <c r="V10" i="27"/>
  <c r="E26" i="27"/>
  <c r="I10" i="27"/>
  <c r="H10" i="27"/>
  <c r="W10" i="27"/>
  <c r="X10" i="21"/>
  <c r="I10" i="21"/>
  <c r="J10" i="21"/>
  <c r="E26" i="21"/>
  <c r="G26" i="21"/>
  <c r="D11" i="21"/>
  <c r="D27" i="21" s="1"/>
  <c r="X9" i="24"/>
  <c r="J9" i="24"/>
  <c r="I9" i="24"/>
  <c r="Y9" i="24"/>
  <c r="E25" i="24"/>
  <c r="H25" i="26"/>
  <c r="H9" i="24"/>
  <c r="W9" i="24" s="1"/>
  <c r="G25" i="24"/>
  <c r="D10" i="24"/>
  <c r="D26" i="24" s="1"/>
  <c r="G26" i="27"/>
  <c r="D11" i="27"/>
  <c r="D27" i="27" s="1"/>
  <c r="L25" i="23"/>
  <c r="K24" i="23"/>
  <c r="S24" i="23" s="1"/>
  <c r="J24" i="23"/>
  <c r="W25" i="21"/>
  <c r="O25" i="21"/>
  <c r="P25" i="21" s="1"/>
  <c r="R25" i="21" s="1"/>
  <c r="U25" i="21" s="1"/>
  <c r="I25" i="26"/>
  <c r="T21" i="25"/>
  <c r="V21" i="25" s="1"/>
  <c r="X21" i="25"/>
  <c r="Y21" i="25" s="1"/>
  <c r="AD23" i="24"/>
  <c r="AE23" i="24" s="1"/>
  <c r="AF23" i="24"/>
  <c r="AG23" i="24" s="1"/>
  <c r="F10" i="23"/>
  <c r="D26" i="26"/>
  <c r="F10" i="26"/>
  <c r="W22" i="25"/>
  <c r="O22" i="25"/>
  <c r="P22" i="25" s="1"/>
  <c r="Q22" i="25" s="1"/>
  <c r="T24" i="21"/>
  <c r="V24" i="21" s="1"/>
  <c r="X24" i="21"/>
  <c r="Y24" i="21" s="1"/>
  <c r="F23" i="25"/>
  <c r="E7" i="25"/>
  <c r="G7" i="25"/>
  <c r="N25" i="23"/>
  <c r="M25" i="23"/>
  <c r="N25" i="26"/>
  <c r="M25" i="26"/>
  <c r="R25" i="26" s="1"/>
  <c r="U25" i="26" s="1"/>
  <c r="AL24" i="26"/>
  <c r="M25" i="17"/>
  <c r="O25" i="17" s="1"/>
  <c r="P25" i="17" s="1"/>
  <c r="D11" i="11"/>
  <c r="D27" i="11" s="1"/>
  <c r="I9" i="17"/>
  <c r="O25" i="22"/>
  <c r="P25" i="22" s="1"/>
  <c r="Q25" i="22" s="1"/>
  <c r="W25" i="22"/>
  <c r="X24" i="22"/>
  <c r="Y24" i="22" s="1"/>
  <c r="T24" i="22"/>
  <c r="V24" i="22" s="1"/>
  <c r="AF24" i="22" s="1"/>
  <c r="AG24" i="22" s="1"/>
  <c r="G10" i="22"/>
  <c r="E10" i="22"/>
  <c r="F26" i="22"/>
  <c r="H10" i="11"/>
  <c r="V10" i="11" s="1"/>
  <c r="I26" i="11" s="1"/>
  <c r="D10" i="17"/>
  <c r="D26" i="17" s="1"/>
  <c r="N22" i="13"/>
  <c r="O22" i="13" s="1"/>
  <c r="P22" i="13" s="1"/>
  <c r="I9" i="16"/>
  <c r="J9" i="16"/>
  <c r="E25" i="16"/>
  <c r="H9" i="16"/>
  <c r="G25" i="16"/>
  <c r="D10" i="16"/>
  <c r="D26" i="16" s="1"/>
  <c r="H9" i="17"/>
  <c r="W9" i="17" s="1"/>
  <c r="H25" i="17" s="1"/>
  <c r="R24" i="16"/>
  <c r="U24" i="16" s="1"/>
  <c r="Q24" i="16"/>
  <c r="AD23" i="16"/>
  <c r="AE23" i="16" s="1"/>
  <c r="V9" i="17"/>
  <c r="I25" i="17" s="1"/>
  <c r="AD23" i="18"/>
  <c r="AE23" i="18" s="1"/>
  <c r="G25" i="18"/>
  <c r="D10" i="18"/>
  <c r="J9" i="18"/>
  <c r="E25" i="18"/>
  <c r="I9" i="18"/>
  <c r="Y9" i="18"/>
  <c r="H9" i="18"/>
  <c r="X9" i="18"/>
  <c r="AF23" i="18"/>
  <c r="AG23" i="18" s="1"/>
  <c r="D7" i="13"/>
  <c r="H26" i="19"/>
  <c r="E25" i="17"/>
  <c r="L25" i="17" s="1"/>
  <c r="R24" i="18"/>
  <c r="U24" i="18" s="1"/>
  <c r="Q24" i="18"/>
  <c r="J6" i="13"/>
  <c r="H6" i="13"/>
  <c r="W6" i="13" s="1"/>
  <c r="H22" i="13" s="1"/>
  <c r="E22" i="13"/>
  <c r="Y10" i="7"/>
  <c r="F11" i="19"/>
  <c r="F27" i="19" s="1"/>
  <c r="H10" i="7"/>
  <c r="G26" i="7"/>
  <c r="N26" i="7" s="1"/>
  <c r="W10" i="7"/>
  <c r="AL24" i="19"/>
  <c r="V10" i="19"/>
  <c r="I26" i="19" s="1"/>
  <c r="L26" i="19"/>
  <c r="K25" i="19"/>
  <c r="S25" i="19" s="1"/>
  <c r="J25" i="19"/>
  <c r="M26" i="19"/>
  <c r="N26" i="19"/>
  <c r="AB25" i="19"/>
  <c r="AC25" i="19" s="1"/>
  <c r="Z25" i="19"/>
  <c r="AA25" i="19" s="1"/>
  <c r="J10" i="7"/>
  <c r="I10" i="7"/>
  <c r="V10" i="7"/>
  <c r="X10" i="7"/>
  <c r="T24" i="17"/>
  <c r="V24" i="17" s="1"/>
  <c r="AF24" i="17" s="1"/>
  <c r="AG24" i="17" s="1"/>
  <c r="X24" i="17"/>
  <c r="Y24" i="17" s="1"/>
  <c r="L25" i="10"/>
  <c r="K24" i="10"/>
  <c r="S24" i="10" s="1"/>
  <c r="V9" i="15"/>
  <c r="I25" i="15" s="1"/>
  <c r="AL23" i="15"/>
  <c r="AL24" i="11"/>
  <c r="D26" i="15"/>
  <c r="F10" i="15"/>
  <c r="N25" i="15"/>
  <c r="M25" i="15"/>
  <c r="R25" i="7"/>
  <c r="U25" i="7" s="1"/>
  <c r="L26" i="7"/>
  <c r="J26" i="7"/>
  <c r="K26" i="7"/>
  <c r="D27" i="7"/>
  <c r="F11" i="7"/>
  <c r="AF24" i="7"/>
  <c r="AG24" i="7" s="1"/>
  <c r="AD24" i="7"/>
  <c r="AE24" i="7" s="1"/>
  <c r="AB25" i="7"/>
  <c r="AC25" i="7" s="1"/>
  <c r="AL23" i="10"/>
  <c r="D26" i="10"/>
  <c r="F10" i="10"/>
  <c r="N25" i="10"/>
  <c r="M25" i="10"/>
  <c r="Z24" i="10"/>
  <c r="AA24" i="10" s="1"/>
  <c r="AB24" i="10"/>
  <c r="AC24" i="10" s="1"/>
  <c r="W9" i="10"/>
  <c r="H25" i="10" s="1"/>
  <c r="V9" i="10"/>
  <c r="I25" i="10" s="1"/>
  <c r="J24" i="10"/>
  <c r="AL23" i="14"/>
  <c r="AJ21" i="2"/>
  <c r="X22" i="2"/>
  <c r="Y22" i="2" s="1"/>
  <c r="Z22" i="2"/>
  <c r="AA22" i="2" s="1"/>
  <c r="W22" i="13"/>
  <c r="H25" i="14"/>
  <c r="I25" i="14"/>
  <c r="N26" i="11"/>
  <c r="M26" i="11"/>
  <c r="L25" i="14"/>
  <c r="AB25" i="11"/>
  <c r="AC25" i="11" s="1"/>
  <c r="Z25" i="11"/>
  <c r="AA25" i="11" s="1"/>
  <c r="L26" i="11"/>
  <c r="K25" i="11"/>
  <c r="S25" i="11" s="1"/>
  <c r="J25" i="11"/>
  <c r="O25" i="12"/>
  <c r="Q25" i="12"/>
  <c r="T25" i="12"/>
  <c r="R25" i="12"/>
  <c r="W25" i="12"/>
  <c r="S25" i="12"/>
  <c r="X25" i="12"/>
  <c r="U25" i="12"/>
  <c r="AA25" i="12"/>
  <c r="AH25" i="12"/>
  <c r="AB25" i="12"/>
  <c r="Y25" i="12"/>
  <c r="AF25" i="12"/>
  <c r="AG25" i="12" s="1"/>
  <c r="Z25" i="12"/>
  <c r="AC25" i="12"/>
  <c r="P25" i="12"/>
  <c r="V25" i="12"/>
  <c r="AD25" i="12"/>
  <c r="AE25" i="12"/>
  <c r="AL25" i="12"/>
  <c r="AI25" i="12"/>
  <c r="E10" i="12"/>
  <c r="G10" i="12"/>
  <c r="F26" i="12"/>
  <c r="M25" i="14"/>
  <c r="N25" i="14"/>
  <c r="F10" i="14"/>
  <c r="D8" i="2"/>
  <c r="D24" i="2" s="1"/>
  <c r="G23" i="2"/>
  <c r="H7" i="2"/>
  <c r="U7" i="2" s="1"/>
  <c r="I23" i="2" s="1"/>
  <c r="P22" i="2"/>
  <c r="S22" i="2" s="1"/>
  <c r="T22" i="2" s="1"/>
  <c r="AI24" i="17"/>
  <c r="AI23" i="18"/>
  <c r="AI24" i="22"/>
  <c r="AI23" i="24"/>
  <c r="AH23" i="18"/>
  <c r="AH23" i="16"/>
  <c r="AH23" i="24"/>
  <c r="AI24" i="7"/>
  <c r="AH24" i="7"/>
  <c r="H10" i="21" l="1"/>
  <c r="W10" i="21" s="1"/>
  <c r="G27" i="28"/>
  <c r="D12" i="28"/>
  <c r="D28" i="28" s="1"/>
  <c r="X11" i="28"/>
  <c r="W11" i="28"/>
  <c r="V11" i="28"/>
  <c r="Y11" i="28"/>
  <c r="J11" i="28"/>
  <c r="H11" i="28"/>
  <c r="E27" i="28"/>
  <c r="I11" i="28"/>
  <c r="H26" i="21"/>
  <c r="Q25" i="21"/>
  <c r="AB25" i="21" s="1"/>
  <c r="AC25" i="21" s="1"/>
  <c r="W25" i="17"/>
  <c r="Q25" i="26"/>
  <c r="H26" i="27"/>
  <c r="F11" i="27"/>
  <c r="E11" i="27" s="1"/>
  <c r="I26" i="27"/>
  <c r="H25" i="24"/>
  <c r="R22" i="25"/>
  <c r="U22" i="25" s="1"/>
  <c r="V10" i="21"/>
  <c r="I26" i="21" s="1"/>
  <c r="AL23" i="24"/>
  <c r="Z22" i="25"/>
  <c r="AA22" i="25" s="1"/>
  <c r="AB22" i="25"/>
  <c r="AC22" i="25" s="1"/>
  <c r="N26" i="27"/>
  <c r="M26" i="27"/>
  <c r="F11" i="21"/>
  <c r="I7" i="25"/>
  <c r="X7" i="25"/>
  <c r="Y7" i="25"/>
  <c r="E23" i="25"/>
  <c r="J7" i="25"/>
  <c r="H7" i="25"/>
  <c r="V7" i="25" s="1"/>
  <c r="AF24" i="21"/>
  <c r="AG24" i="21" s="1"/>
  <c r="AD24" i="21"/>
  <c r="AE24" i="21" s="1"/>
  <c r="F10" i="24"/>
  <c r="L26" i="27"/>
  <c r="J26" i="27"/>
  <c r="K26" i="27"/>
  <c r="M26" i="21"/>
  <c r="N26" i="21"/>
  <c r="O25" i="26"/>
  <c r="P25" i="26" s="1"/>
  <c r="W25" i="26"/>
  <c r="F26" i="23"/>
  <c r="E10" i="23"/>
  <c r="G10" i="23"/>
  <c r="M25" i="24"/>
  <c r="N25" i="24"/>
  <c r="V9" i="24"/>
  <c r="I25" i="24" s="1"/>
  <c r="G10" i="26"/>
  <c r="F26" i="26"/>
  <c r="E10" i="26"/>
  <c r="O25" i="23"/>
  <c r="P25" i="23" s="1"/>
  <c r="R25" i="23" s="1"/>
  <c r="U25" i="23" s="1"/>
  <c r="W25" i="23"/>
  <c r="T24" i="23"/>
  <c r="V24" i="23" s="1"/>
  <c r="X24" i="23"/>
  <c r="Y24" i="23" s="1"/>
  <c r="L25" i="24"/>
  <c r="K24" i="24"/>
  <c r="S24" i="24" s="1"/>
  <c r="J24" i="24"/>
  <c r="L26" i="21"/>
  <c r="J25" i="21"/>
  <c r="K25" i="21"/>
  <c r="S25" i="21" s="1"/>
  <c r="D8" i="25"/>
  <c r="D24" i="25" s="1"/>
  <c r="G23" i="25"/>
  <c r="AD21" i="25"/>
  <c r="AE21" i="25" s="1"/>
  <c r="AF21" i="25"/>
  <c r="AG21" i="25" s="1"/>
  <c r="AB25" i="26"/>
  <c r="AC25" i="26" s="1"/>
  <c r="Z25" i="26"/>
  <c r="AA25" i="26" s="1"/>
  <c r="F11" i="11"/>
  <c r="E11" i="11" s="1"/>
  <c r="V6" i="13"/>
  <c r="I22" i="13" s="1"/>
  <c r="AD24" i="22"/>
  <c r="AE24" i="22" s="1"/>
  <c r="R25" i="22"/>
  <c r="U25" i="22" s="1"/>
  <c r="AB25" i="22"/>
  <c r="AC25" i="22" s="1"/>
  <c r="Z25" i="22"/>
  <c r="AA25" i="22" s="1"/>
  <c r="Y10" i="22"/>
  <c r="J10" i="22"/>
  <c r="X10" i="22"/>
  <c r="H10" i="22"/>
  <c r="V10" i="22" s="1"/>
  <c r="I10" i="22"/>
  <c r="E26" i="22"/>
  <c r="D11" i="22"/>
  <c r="D27" i="22" s="1"/>
  <c r="G26" i="22"/>
  <c r="W10" i="11"/>
  <c r="H26" i="11" s="1"/>
  <c r="F10" i="17"/>
  <c r="G10" i="17" s="1"/>
  <c r="G26" i="17" s="1"/>
  <c r="AL23" i="16"/>
  <c r="F10" i="16"/>
  <c r="N25" i="16"/>
  <c r="M25" i="16"/>
  <c r="AB24" i="16"/>
  <c r="AC24" i="16" s="1"/>
  <c r="Z24" i="16"/>
  <c r="AA24" i="16" s="1"/>
  <c r="V9" i="16"/>
  <c r="I25" i="16" s="1"/>
  <c r="W9" i="16"/>
  <c r="H25" i="16" s="1"/>
  <c r="K24" i="16"/>
  <c r="S24" i="16" s="1"/>
  <c r="J24" i="16"/>
  <c r="L25" i="16"/>
  <c r="I26" i="7"/>
  <c r="J24" i="18"/>
  <c r="L25" i="18"/>
  <c r="K24" i="18"/>
  <c r="S24" i="18" s="1"/>
  <c r="D26" i="18"/>
  <c r="F10" i="18"/>
  <c r="M26" i="7"/>
  <c r="AC26" i="7" s="1"/>
  <c r="M25" i="18"/>
  <c r="N25" i="18"/>
  <c r="V9" i="18"/>
  <c r="I25" i="18" s="1"/>
  <c r="W9" i="18"/>
  <c r="H25" i="18" s="1"/>
  <c r="AL23" i="18"/>
  <c r="H26" i="7"/>
  <c r="D23" i="13"/>
  <c r="F7" i="13"/>
  <c r="AB24" i="18"/>
  <c r="AC24" i="18" s="1"/>
  <c r="Z24" i="18"/>
  <c r="AA24" i="18" s="1"/>
  <c r="L22" i="13"/>
  <c r="R22" i="13" s="1"/>
  <c r="U22" i="13" s="1"/>
  <c r="E11" i="19"/>
  <c r="I11" i="19" s="1"/>
  <c r="G11" i="19"/>
  <c r="D12" i="19" s="1"/>
  <c r="D28" i="19" s="1"/>
  <c r="T25" i="19"/>
  <c r="V25" i="19" s="1"/>
  <c r="AF25" i="19" s="1"/>
  <c r="AG25" i="19" s="1"/>
  <c r="X25" i="19"/>
  <c r="Y25" i="19" s="1"/>
  <c r="W26" i="19"/>
  <c r="O26" i="19"/>
  <c r="P26" i="19" s="1"/>
  <c r="AD24" i="17"/>
  <c r="AE24" i="17" s="1"/>
  <c r="R25" i="17"/>
  <c r="U25" i="17" s="1"/>
  <c r="Q25" i="17"/>
  <c r="O25" i="15"/>
  <c r="P25" i="15" s="1"/>
  <c r="W25" i="15"/>
  <c r="E10" i="15"/>
  <c r="G10" i="15"/>
  <c r="F26" i="15"/>
  <c r="AL24" i="7"/>
  <c r="G11" i="7"/>
  <c r="F27" i="7"/>
  <c r="E11" i="7"/>
  <c r="T24" i="10"/>
  <c r="V24" i="10" s="1"/>
  <c r="X24" i="10"/>
  <c r="Y24" i="10" s="1"/>
  <c r="W25" i="10"/>
  <c r="O25" i="10"/>
  <c r="P25" i="10" s="1"/>
  <c r="F8" i="2"/>
  <c r="G8" i="2" s="1"/>
  <c r="F26" i="10"/>
  <c r="E10" i="10"/>
  <c r="G10" i="10"/>
  <c r="O26" i="11"/>
  <c r="P26" i="11" s="1"/>
  <c r="Q26" i="11" s="1"/>
  <c r="W26" i="11"/>
  <c r="W25" i="14"/>
  <c r="R25" i="14"/>
  <c r="O25" i="14"/>
  <c r="P25" i="14"/>
  <c r="Q25" i="14" s="1"/>
  <c r="U25" i="14"/>
  <c r="Q22" i="13"/>
  <c r="L23" i="2"/>
  <c r="K23" i="2"/>
  <c r="G26" i="12"/>
  <c r="D11" i="12"/>
  <c r="D27" i="12" s="1"/>
  <c r="T25" i="11"/>
  <c r="V25" i="11" s="1"/>
  <c r="AF25" i="11" s="1"/>
  <c r="AG25" i="11" s="1"/>
  <c r="X25" i="11"/>
  <c r="Y25" i="11" s="1"/>
  <c r="E26" i="12"/>
  <c r="W10" i="12"/>
  <c r="V10" i="12"/>
  <c r="X10" i="12"/>
  <c r="J10" i="12"/>
  <c r="H10" i="12"/>
  <c r="Y10" i="12"/>
  <c r="I10" i="12"/>
  <c r="AD22" i="2"/>
  <c r="AE22" i="2" s="1"/>
  <c r="G10" i="14"/>
  <c r="E10" i="14"/>
  <c r="F26" i="14"/>
  <c r="AB22" i="2"/>
  <c r="AC22" i="2" s="1"/>
  <c r="AH24" i="17"/>
  <c r="AH24" i="22"/>
  <c r="AF22" i="2"/>
  <c r="AH21" i="25"/>
  <c r="AH24" i="21"/>
  <c r="AI25" i="19"/>
  <c r="AI24" i="21"/>
  <c r="AI21" i="25"/>
  <c r="AG22" i="2"/>
  <c r="AI25" i="11"/>
  <c r="G11" i="27" l="1"/>
  <c r="Z25" i="21"/>
  <c r="AA25" i="21" s="1"/>
  <c r="L27" i="28"/>
  <c r="K27" i="28"/>
  <c r="J27" i="28"/>
  <c r="I27" i="28"/>
  <c r="H27" i="28"/>
  <c r="F12" i="28"/>
  <c r="N27" i="28"/>
  <c r="M27" i="28"/>
  <c r="F27" i="27"/>
  <c r="I26" i="22"/>
  <c r="Q25" i="23"/>
  <c r="Z25" i="23" s="1"/>
  <c r="AA25" i="23" s="1"/>
  <c r="AL21" i="25"/>
  <c r="AL24" i="21"/>
  <c r="G26" i="26"/>
  <c r="D11" i="26"/>
  <c r="D27" i="26" s="1"/>
  <c r="W25" i="24"/>
  <c r="O25" i="24"/>
  <c r="P25" i="24" s="1"/>
  <c r="Q25" i="24" s="1"/>
  <c r="G26" i="23"/>
  <c r="D11" i="23"/>
  <c r="D27" i="23" s="1"/>
  <c r="F27" i="21"/>
  <c r="E11" i="21"/>
  <c r="G11" i="21"/>
  <c r="L23" i="25"/>
  <c r="J22" i="25"/>
  <c r="K22" i="25"/>
  <c r="S22" i="25" s="1"/>
  <c r="J10" i="23"/>
  <c r="X10" i="23"/>
  <c r="H10" i="23"/>
  <c r="V10" i="23" s="1"/>
  <c r="I10" i="23"/>
  <c r="E26" i="23"/>
  <c r="Y10" i="23"/>
  <c r="F26" i="24"/>
  <c r="E10" i="24"/>
  <c r="G10" i="24"/>
  <c r="U26" i="27"/>
  <c r="AC26" i="27"/>
  <c r="AF26" i="27"/>
  <c r="AG26" i="27" s="1"/>
  <c r="AB26" i="27"/>
  <c r="AA26" i="27"/>
  <c r="Y26" i="27"/>
  <c r="T26" i="27"/>
  <c r="W26" i="27"/>
  <c r="AD26" i="27"/>
  <c r="R26" i="27"/>
  <c r="AI26" i="27"/>
  <c r="AE26" i="27"/>
  <c r="S26" i="27"/>
  <c r="Q26" i="27"/>
  <c r="O26" i="27"/>
  <c r="AH26" i="27"/>
  <c r="AL26" i="27"/>
  <c r="P26" i="27"/>
  <c r="X26" i="27"/>
  <c r="Z26" i="27"/>
  <c r="V26" i="27"/>
  <c r="F8" i="25"/>
  <c r="AF24" i="23"/>
  <c r="AG24" i="23" s="1"/>
  <c r="AD24" i="23"/>
  <c r="AE24" i="23" s="1"/>
  <c r="T24" i="24"/>
  <c r="V24" i="24" s="1"/>
  <c r="X24" i="24"/>
  <c r="Y24" i="24" s="1"/>
  <c r="N23" i="25"/>
  <c r="M23" i="25"/>
  <c r="W26" i="21"/>
  <c r="O26" i="21"/>
  <c r="P26" i="21" s="1"/>
  <c r="Q26" i="21" s="1"/>
  <c r="D12" i="27"/>
  <c r="G27" i="27"/>
  <c r="W7" i="25"/>
  <c r="H23" i="25" s="1"/>
  <c r="X25" i="21"/>
  <c r="Y25" i="21" s="1"/>
  <c r="T25" i="21"/>
  <c r="V25" i="21" s="1"/>
  <c r="AF25" i="21" s="1"/>
  <c r="AG25" i="21" s="1"/>
  <c r="H10" i="26"/>
  <c r="Y10" i="26"/>
  <c r="V10" i="26"/>
  <c r="X10" i="26"/>
  <c r="W10" i="26"/>
  <c r="J10" i="26"/>
  <c r="I10" i="26"/>
  <c r="E26" i="26"/>
  <c r="I23" i="25"/>
  <c r="Y11" i="27"/>
  <c r="X11" i="27"/>
  <c r="I11" i="27"/>
  <c r="H11" i="27"/>
  <c r="W11" i="27"/>
  <c r="E27" i="27"/>
  <c r="J11" i="27"/>
  <c r="V11" i="27"/>
  <c r="G11" i="11"/>
  <c r="G27" i="11" s="1"/>
  <c r="F27" i="11"/>
  <c r="E10" i="17"/>
  <c r="I10" i="17" s="1"/>
  <c r="AL24" i="22"/>
  <c r="D11" i="17"/>
  <c r="D27" i="17" s="1"/>
  <c r="L26" i="22"/>
  <c r="K25" i="22"/>
  <c r="S25" i="22" s="1"/>
  <c r="J25" i="22"/>
  <c r="W10" i="22"/>
  <c r="H26" i="22" s="1"/>
  <c r="F11" i="22"/>
  <c r="N26" i="22"/>
  <c r="M26" i="22"/>
  <c r="F26" i="17"/>
  <c r="M26" i="17" s="1"/>
  <c r="R26" i="7"/>
  <c r="U26" i="7"/>
  <c r="T24" i="16"/>
  <c r="V24" i="16" s="1"/>
  <c r="AF24" i="16" s="1"/>
  <c r="AG24" i="16" s="1"/>
  <c r="X24" i="16"/>
  <c r="Y24" i="16" s="1"/>
  <c r="O25" i="16"/>
  <c r="P25" i="16" s="1"/>
  <c r="R25" i="16" s="1"/>
  <c r="U25" i="16" s="1"/>
  <c r="W25" i="16"/>
  <c r="G10" i="16"/>
  <c r="F26" i="16"/>
  <c r="E10" i="16"/>
  <c r="S26" i="7"/>
  <c r="Y26" i="7"/>
  <c r="T26" i="7"/>
  <c r="AL26" i="7"/>
  <c r="AA26" i="7"/>
  <c r="AB26" i="7"/>
  <c r="AD26" i="7"/>
  <c r="AF26" i="7"/>
  <c r="AG26" i="7" s="1"/>
  <c r="E10" i="18"/>
  <c r="F26" i="18"/>
  <c r="G10" i="18"/>
  <c r="Z26" i="7"/>
  <c r="P26" i="7"/>
  <c r="O26" i="7"/>
  <c r="W26" i="7"/>
  <c r="AH26" i="7"/>
  <c r="O25" i="18"/>
  <c r="P25" i="18" s="1"/>
  <c r="Q25" i="18" s="1"/>
  <c r="W25" i="18"/>
  <c r="Q26" i="7"/>
  <c r="V26" i="7"/>
  <c r="AE26" i="7"/>
  <c r="AI26" i="7"/>
  <c r="T24" i="18"/>
  <c r="V24" i="18" s="1"/>
  <c r="X24" i="18"/>
  <c r="Y24" i="18" s="1"/>
  <c r="X26" i="7"/>
  <c r="G7" i="13"/>
  <c r="E7" i="13"/>
  <c r="F23" i="13"/>
  <c r="X11" i="19"/>
  <c r="Y11" i="19"/>
  <c r="H11" i="19"/>
  <c r="J11" i="19"/>
  <c r="E27" i="19"/>
  <c r="L27" i="19" s="1"/>
  <c r="G27" i="19"/>
  <c r="N27" i="19" s="1"/>
  <c r="R26" i="19"/>
  <c r="U26" i="19" s="1"/>
  <c r="Q26" i="19"/>
  <c r="AD25" i="19"/>
  <c r="AE25" i="19" s="1"/>
  <c r="F12" i="19"/>
  <c r="AL24" i="17"/>
  <c r="K25" i="17"/>
  <c r="S25" i="17" s="1"/>
  <c r="J25" i="17"/>
  <c r="AB25" i="17"/>
  <c r="AC25" i="17" s="1"/>
  <c r="Z25" i="17"/>
  <c r="AA25" i="17" s="1"/>
  <c r="D11" i="15"/>
  <c r="D27" i="15" s="1"/>
  <c r="G26" i="15"/>
  <c r="H10" i="15"/>
  <c r="W10" i="15" s="1"/>
  <c r="H26" i="15" s="1"/>
  <c r="E26" i="15"/>
  <c r="J10" i="15"/>
  <c r="I10" i="15"/>
  <c r="R25" i="15"/>
  <c r="U25" i="15" s="1"/>
  <c r="Q25" i="15"/>
  <c r="F24" i="2"/>
  <c r="G27" i="7"/>
  <c r="D12" i="7"/>
  <c r="AD25" i="11"/>
  <c r="AE25" i="11" s="1"/>
  <c r="X11" i="7"/>
  <c r="Y11" i="7"/>
  <c r="E27" i="7"/>
  <c r="V11" i="7"/>
  <c r="H11" i="7"/>
  <c r="J11" i="7"/>
  <c r="I11" i="7"/>
  <c r="W11" i="7"/>
  <c r="R26" i="11"/>
  <c r="U26" i="11" s="1"/>
  <c r="R25" i="10"/>
  <c r="U25" i="10" s="1"/>
  <c r="Q25" i="10"/>
  <c r="J10" i="10"/>
  <c r="E26" i="10"/>
  <c r="X10" i="10"/>
  <c r="I10" i="10"/>
  <c r="H10" i="10"/>
  <c r="W10" i="10" s="1"/>
  <c r="Y10" i="10"/>
  <c r="D11" i="10"/>
  <c r="D27" i="10" s="1"/>
  <c r="G26" i="10"/>
  <c r="F11" i="12"/>
  <c r="E11" i="12" s="1"/>
  <c r="AF24" i="10"/>
  <c r="AG24" i="10" s="1"/>
  <c r="AD24" i="10"/>
  <c r="AE24" i="10" s="1"/>
  <c r="J10" i="14"/>
  <c r="I26" i="14"/>
  <c r="AJ22" i="2"/>
  <c r="Z26" i="11"/>
  <c r="AA26" i="11" s="1"/>
  <c r="AB26" i="11"/>
  <c r="AC26" i="11" s="1"/>
  <c r="AB25" i="14"/>
  <c r="AC25" i="14" s="1"/>
  <c r="Z25" i="14"/>
  <c r="AA25" i="14" s="1"/>
  <c r="Y11" i="11"/>
  <c r="I11" i="11"/>
  <c r="E27" i="11"/>
  <c r="J11" i="11"/>
  <c r="X11" i="11"/>
  <c r="I26" i="12"/>
  <c r="H26" i="12"/>
  <c r="M23" i="2"/>
  <c r="N23" i="2" s="1"/>
  <c r="R23" i="2"/>
  <c r="U23" i="2"/>
  <c r="V23" i="2" s="1"/>
  <c r="W23" i="2" s="1"/>
  <c r="Q23" i="2"/>
  <c r="N26" i="12"/>
  <c r="M26" i="12"/>
  <c r="L26" i="12"/>
  <c r="K26" i="12"/>
  <c r="J26" i="12"/>
  <c r="I10" i="14"/>
  <c r="E26" i="14"/>
  <c r="H10" i="14"/>
  <c r="D9" i="2"/>
  <c r="D25" i="2" s="1"/>
  <c r="G24" i="2"/>
  <c r="H8" i="2"/>
  <c r="U8" i="2" s="1"/>
  <c r="I24" i="2" s="1"/>
  <c r="D11" i="14"/>
  <c r="D27" i="14" s="1"/>
  <c r="G26" i="14"/>
  <c r="Z22" i="13"/>
  <c r="AA22" i="13" s="1"/>
  <c r="AB22" i="13"/>
  <c r="AC22" i="13" s="1"/>
  <c r="AH24" i="10"/>
  <c r="AI24" i="10"/>
  <c r="AI24" i="16"/>
  <c r="AH25" i="19"/>
  <c r="AI25" i="21"/>
  <c r="AI24" i="23"/>
  <c r="AH25" i="11"/>
  <c r="AH24" i="23"/>
  <c r="F28" i="28" l="1"/>
  <c r="G12" i="28"/>
  <c r="E12" i="28"/>
  <c r="AL27" i="28"/>
  <c r="V27" i="28"/>
  <c r="U27" i="28"/>
  <c r="AH27" i="28"/>
  <c r="T27" i="28"/>
  <c r="AC27" i="28"/>
  <c r="O27" i="28"/>
  <c r="Z27" i="28"/>
  <c r="Y27" i="28"/>
  <c r="AB27" i="28"/>
  <c r="AA27" i="28"/>
  <c r="X27" i="28"/>
  <c r="P27" i="28"/>
  <c r="AF27" i="28"/>
  <c r="AG27" i="28" s="1"/>
  <c r="S27" i="28"/>
  <c r="R27" i="28"/>
  <c r="AE27" i="28"/>
  <c r="W27" i="28"/>
  <c r="AD27" i="28"/>
  <c r="Q27" i="28"/>
  <c r="AI27" i="28"/>
  <c r="AB25" i="23"/>
  <c r="AC25" i="23" s="1"/>
  <c r="H26" i="26"/>
  <c r="H11" i="11"/>
  <c r="V11" i="11" s="1"/>
  <c r="I27" i="11" s="1"/>
  <c r="R26" i="21"/>
  <c r="U26" i="21" s="1"/>
  <c r="I26" i="26"/>
  <c r="W10" i="23"/>
  <c r="H26" i="23" s="1"/>
  <c r="J10" i="17"/>
  <c r="AB26" i="21"/>
  <c r="AC26" i="21" s="1"/>
  <c r="Z26" i="21"/>
  <c r="AA26" i="21" s="1"/>
  <c r="D12" i="11"/>
  <c r="D28" i="11" s="1"/>
  <c r="N26" i="17"/>
  <c r="AL24" i="23"/>
  <c r="AB25" i="24"/>
  <c r="AC25" i="24" s="1"/>
  <c r="Z25" i="24"/>
  <c r="AA25" i="24" s="1"/>
  <c r="K25" i="23"/>
  <c r="S25" i="23" s="1"/>
  <c r="J25" i="23"/>
  <c r="L26" i="23"/>
  <c r="I26" i="23"/>
  <c r="F11" i="23"/>
  <c r="R25" i="24"/>
  <c r="U25" i="24" s="1"/>
  <c r="H11" i="21"/>
  <c r="W11" i="21" s="1"/>
  <c r="X11" i="21"/>
  <c r="J11" i="21"/>
  <c r="E27" i="21"/>
  <c r="Y11" i="21"/>
  <c r="I11" i="21"/>
  <c r="O23" i="25"/>
  <c r="P23" i="25" s="1"/>
  <c r="Q23" i="25" s="1"/>
  <c r="W23" i="25"/>
  <c r="D28" i="27"/>
  <c r="F12" i="27"/>
  <c r="I27" i="27"/>
  <c r="AD24" i="24"/>
  <c r="AE24" i="24" s="1"/>
  <c r="AF24" i="24"/>
  <c r="AG24" i="24" s="1"/>
  <c r="F11" i="26"/>
  <c r="AD25" i="21"/>
  <c r="AE25" i="21" s="1"/>
  <c r="T22" i="25"/>
  <c r="V22" i="25" s="1"/>
  <c r="X22" i="25"/>
  <c r="Y22" i="25" s="1"/>
  <c r="G27" i="21"/>
  <c r="D12" i="21"/>
  <c r="D28" i="21" s="1"/>
  <c r="L26" i="26"/>
  <c r="K26" i="26"/>
  <c r="J26" i="26"/>
  <c r="M27" i="27"/>
  <c r="N27" i="27"/>
  <c r="M26" i="23"/>
  <c r="N26" i="23"/>
  <c r="L27" i="27"/>
  <c r="K27" i="27"/>
  <c r="J27" i="27"/>
  <c r="G26" i="24"/>
  <c r="D11" i="24"/>
  <c r="D27" i="24" s="1"/>
  <c r="N26" i="26"/>
  <c r="M26" i="26"/>
  <c r="H27" i="27"/>
  <c r="Y10" i="24"/>
  <c r="X10" i="24"/>
  <c r="I10" i="24"/>
  <c r="J10" i="24"/>
  <c r="H10" i="24"/>
  <c r="W10" i="24" s="1"/>
  <c r="E26" i="24"/>
  <c r="F24" i="25"/>
  <c r="G8" i="25"/>
  <c r="E8" i="25"/>
  <c r="V10" i="17"/>
  <c r="I26" i="17" s="1"/>
  <c r="AD24" i="16"/>
  <c r="AE24" i="16" s="1"/>
  <c r="H10" i="17"/>
  <c r="W10" i="17" s="1"/>
  <c r="H26" i="17" s="1"/>
  <c r="E26" i="17"/>
  <c r="L26" i="17" s="1"/>
  <c r="Q25" i="16"/>
  <c r="AB25" i="16" s="1"/>
  <c r="AC25" i="16" s="1"/>
  <c r="F11" i="17"/>
  <c r="F27" i="17" s="1"/>
  <c r="F27" i="22"/>
  <c r="E11" i="22"/>
  <c r="G11" i="22"/>
  <c r="W26" i="22"/>
  <c r="O26" i="22"/>
  <c r="P26" i="22" s="1"/>
  <c r="T25" i="22"/>
  <c r="V25" i="22" s="1"/>
  <c r="X25" i="22"/>
  <c r="Y25" i="22" s="1"/>
  <c r="H10" i="16"/>
  <c r="W10" i="16" s="1"/>
  <c r="H26" i="16" s="1"/>
  <c r="J10" i="16"/>
  <c r="I10" i="16"/>
  <c r="E26" i="16"/>
  <c r="D11" i="16"/>
  <c r="D27" i="16" s="1"/>
  <c r="G26" i="16"/>
  <c r="R25" i="18"/>
  <c r="U25" i="18" s="1"/>
  <c r="AB25" i="18"/>
  <c r="AC25" i="18" s="1"/>
  <c r="Z25" i="18"/>
  <c r="AA25" i="18" s="1"/>
  <c r="AD24" i="18"/>
  <c r="AE24" i="18" s="1"/>
  <c r="AF24" i="18"/>
  <c r="AG24" i="18" s="1"/>
  <c r="D11" i="18"/>
  <c r="G26" i="18"/>
  <c r="H10" i="18"/>
  <c r="X10" i="18"/>
  <c r="Y10" i="18"/>
  <c r="V10" i="18"/>
  <c r="E26" i="18"/>
  <c r="J10" i="18"/>
  <c r="I10" i="18"/>
  <c r="W10" i="18"/>
  <c r="J26" i="19"/>
  <c r="T26" i="19" s="1"/>
  <c r="V26" i="19" s="1"/>
  <c r="K26" i="19"/>
  <c r="S26" i="19" s="1"/>
  <c r="J7" i="13"/>
  <c r="E23" i="13"/>
  <c r="H7" i="13"/>
  <c r="X7" i="13"/>
  <c r="V7" i="13"/>
  <c r="Y7" i="13"/>
  <c r="W7" i="13"/>
  <c r="I7" i="13"/>
  <c r="G23" i="13"/>
  <c r="D8" i="13"/>
  <c r="M27" i="19"/>
  <c r="V11" i="19"/>
  <c r="I27" i="19" s="1"/>
  <c r="W11" i="19"/>
  <c r="H27" i="19" s="1"/>
  <c r="AL25" i="19"/>
  <c r="Z26" i="19"/>
  <c r="AA26" i="19" s="1"/>
  <c r="AB26" i="19"/>
  <c r="AC26" i="19" s="1"/>
  <c r="F28" i="19"/>
  <c r="G12" i="19"/>
  <c r="E12" i="19"/>
  <c r="T25" i="17"/>
  <c r="V25" i="17" s="1"/>
  <c r="X25" i="17"/>
  <c r="Y25" i="17" s="1"/>
  <c r="AF25" i="17"/>
  <c r="AG25" i="17" s="1"/>
  <c r="W26" i="17"/>
  <c r="O26" i="17"/>
  <c r="P26" i="17" s="1"/>
  <c r="L26" i="10"/>
  <c r="K25" i="10"/>
  <c r="S25" i="10" s="1"/>
  <c r="F11" i="15"/>
  <c r="F27" i="15" s="1"/>
  <c r="G11" i="12"/>
  <c r="D12" i="12" s="1"/>
  <c r="D28" i="12" s="1"/>
  <c r="Z25" i="15"/>
  <c r="AA25" i="15" s="1"/>
  <c r="AB25" i="15"/>
  <c r="AC25" i="15" s="1"/>
  <c r="K25" i="15"/>
  <c r="J25" i="15"/>
  <c r="X25" i="15" s="1"/>
  <c r="L26" i="15"/>
  <c r="V10" i="15"/>
  <c r="I26" i="15" s="1"/>
  <c r="F27" i="12"/>
  <c r="N26" i="15"/>
  <c r="M26" i="15"/>
  <c r="V10" i="10"/>
  <c r="I26" i="10" s="1"/>
  <c r="AL25" i="11"/>
  <c r="D28" i="7"/>
  <c r="F12" i="7"/>
  <c r="H27" i="7"/>
  <c r="N27" i="7"/>
  <c r="M27" i="7"/>
  <c r="I27" i="7"/>
  <c r="K27" i="7"/>
  <c r="L27" i="7"/>
  <c r="J27" i="7"/>
  <c r="AL24" i="10"/>
  <c r="M26" i="10"/>
  <c r="N26" i="10"/>
  <c r="H26" i="10"/>
  <c r="J25" i="10"/>
  <c r="Z25" i="10"/>
  <c r="AA25" i="10" s="1"/>
  <c r="AB25" i="10"/>
  <c r="AC25" i="10" s="1"/>
  <c r="F11" i="10"/>
  <c r="F11" i="14"/>
  <c r="F27" i="14" s="1"/>
  <c r="O23" i="2"/>
  <c r="P23" i="2"/>
  <c r="S23" i="2" s="1"/>
  <c r="T23" i="2" s="1"/>
  <c r="K26" i="14"/>
  <c r="L26" i="14"/>
  <c r="J26" i="14"/>
  <c r="U26" i="12"/>
  <c r="Z26" i="12"/>
  <c r="V26" i="12"/>
  <c r="AD26" i="12"/>
  <c r="AL26" i="12"/>
  <c r="S26" i="12"/>
  <c r="O26" i="12"/>
  <c r="T26" i="12"/>
  <c r="W26" i="12"/>
  <c r="AE26" i="12"/>
  <c r="X26" i="12"/>
  <c r="AH26" i="12"/>
  <c r="Y26" i="12"/>
  <c r="Q26" i="12"/>
  <c r="AB26" i="12"/>
  <c r="AF26" i="12"/>
  <c r="AG26" i="12" s="1"/>
  <c r="P26" i="12"/>
  <c r="R26" i="12"/>
  <c r="AC26" i="12"/>
  <c r="AA26" i="12"/>
  <c r="AI26" i="12"/>
  <c r="L27" i="11"/>
  <c r="J26" i="11"/>
  <c r="K26" i="11"/>
  <c r="S26" i="11" s="1"/>
  <c r="M27" i="11"/>
  <c r="N27" i="11"/>
  <c r="F9" i="2"/>
  <c r="K24" i="2"/>
  <c r="L24" i="2"/>
  <c r="N26" i="14"/>
  <c r="M26" i="14"/>
  <c r="X11" i="12"/>
  <c r="E27" i="12"/>
  <c r="H11" i="12"/>
  <c r="W11" i="12"/>
  <c r="J11" i="12"/>
  <c r="Y11" i="12"/>
  <c r="I11" i="12"/>
  <c r="V11" i="12"/>
  <c r="H26" i="14"/>
  <c r="AI25" i="17"/>
  <c r="AH25" i="21"/>
  <c r="AH24" i="16"/>
  <c r="AH24" i="24"/>
  <c r="AI24" i="24"/>
  <c r="AH24" i="18"/>
  <c r="AI24" i="18"/>
  <c r="Y12" i="28" l="1"/>
  <c r="I12" i="28"/>
  <c r="H12" i="28"/>
  <c r="E28" i="28"/>
  <c r="W12" i="28"/>
  <c r="V12" i="28"/>
  <c r="J12" i="28"/>
  <c r="X12" i="28"/>
  <c r="D13" i="28"/>
  <c r="D29" i="28" s="1"/>
  <c r="G28" i="28"/>
  <c r="W11" i="11"/>
  <c r="H27" i="11" s="1"/>
  <c r="F12" i="11"/>
  <c r="F28" i="11" s="1"/>
  <c r="R23" i="25"/>
  <c r="U23" i="25" s="1"/>
  <c r="F11" i="24"/>
  <c r="E11" i="24" s="1"/>
  <c r="H26" i="24"/>
  <c r="V11" i="21"/>
  <c r="I27" i="21" s="1"/>
  <c r="AL25" i="21"/>
  <c r="AL24" i="24"/>
  <c r="AB23" i="25"/>
  <c r="AC23" i="25" s="1"/>
  <c r="Z23" i="25"/>
  <c r="AA23" i="25" s="1"/>
  <c r="D9" i="25"/>
  <c r="D25" i="25" s="1"/>
  <c r="G24" i="25"/>
  <c r="G11" i="24"/>
  <c r="E12" i="27"/>
  <c r="G12" i="27"/>
  <c r="F28" i="27"/>
  <c r="F12" i="21"/>
  <c r="V10" i="24"/>
  <c r="I26" i="24" s="1"/>
  <c r="N26" i="24"/>
  <c r="M26" i="24"/>
  <c r="L26" i="24"/>
  <c r="K25" i="24"/>
  <c r="S25" i="24" s="1"/>
  <c r="J25" i="24"/>
  <c r="N27" i="21"/>
  <c r="M27" i="21"/>
  <c r="X25" i="23"/>
  <c r="Y25" i="23" s="1"/>
  <c r="T25" i="23"/>
  <c r="V25" i="23" s="1"/>
  <c r="AD22" i="25"/>
  <c r="AE22" i="25" s="1"/>
  <c r="AF22" i="25"/>
  <c r="AG22" i="25" s="1"/>
  <c r="K26" i="21"/>
  <c r="S26" i="21" s="1"/>
  <c r="L27" i="21"/>
  <c r="J26" i="21"/>
  <c r="W26" i="23"/>
  <c r="O26" i="23"/>
  <c r="P26" i="23" s="1"/>
  <c r="R26" i="23" s="1"/>
  <c r="U26" i="23" s="1"/>
  <c r="G11" i="26"/>
  <c r="E11" i="26"/>
  <c r="F27" i="26"/>
  <c r="H27" i="21"/>
  <c r="AD27" i="27"/>
  <c r="AA27" i="27"/>
  <c r="Q27" i="27"/>
  <c r="O27" i="27"/>
  <c r="AC27" i="27"/>
  <c r="S27" i="27"/>
  <c r="Y27" i="27"/>
  <c r="AB27" i="27"/>
  <c r="AL27" i="27"/>
  <c r="Z27" i="27"/>
  <c r="W27" i="27"/>
  <c r="AE27" i="27"/>
  <c r="X27" i="27"/>
  <c r="T27" i="27"/>
  <c r="U27" i="27"/>
  <c r="R27" i="27"/>
  <c r="AI27" i="27"/>
  <c r="AH27" i="27"/>
  <c r="P27" i="27"/>
  <c r="V27" i="27"/>
  <c r="AF27" i="27"/>
  <c r="AG27" i="27" s="1"/>
  <c r="W26" i="26"/>
  <c r="O26" i="26"/>
  <c r="AH26" i="26"/>
  <c r="AB26" i="26"/>
  <c r="V26" i="26"/>
  <c r="P26" i="26"/>
  <c r="U26" i="26"/>
  <c r="Y26" i="26"/>
  <c r="AF26" i="26"/>
  <c r="AG26" i="26" s="1"/>
  <c r="Z26" i="26"/>
  <c r="S26" i="26"/>
  <c r="AD26" i="26"/>
  <c r="T26" i="26"/>
  <c r="AA26" i="26"/>
  <c r="R26" i="26"/>
  <c r="AI26" i="26"/>
  <c r="X26" i="26"/>
  <c r="Q26" i="26"/>
  <c r="AC26" i="26"/>
  <c r="AE26" i="26"/>
  <c r="AL26" i="26"/>
  <c r="E11" i="23"/>
  <c r="F27" i="23"/>
  <c r="G11" i="23"/>
  <c r="I8" i="25"/>
  <c r="H8" i="25"/>
  <c r="W8" i="25" s="1"/>
  <c r="X8" i="25"/>
  <c r="J8" i="25"/>
  <c r="Y8" i="25"/>
  <c r="E24" i="25"/>
  <c r="AL24" i="16"/>
  <c r="E11" i="17"/>
  <c r="E27" i="17" s="1"/>
  <c r="Z25" i="16"/>
  <c r="AA25" i="16" s="1"/>
  <c r="G11" i="17"/>
  <c r="D12" i="17" s="1"/>
  <c r="D28" i="17" s="1"/>
  <c r="H23" i="13"/>
  <c r="I26" i="18"/>
  <c r="F11" i="16"/>
  <c r="G11" i="16" s="1"/>
  <c r="R26" i="22"/>
  <c r="U26" i="22" s="1"/>
  <c r="Q26" i="22"/>
  <c r="G27" i="22"/>
  <c r="D12" i="22"/>
  <c r="D28" i="22" s="1"/>
  <c r="AF25" i="22"/>
  <c r="AG25" i="22" s="1"/>
  <c r="AD25" i="22"/>
  <c r="AE25" i="22" s="1"/>
  <c r="H11" i="22"/>
  <c r="W11" i="22" s="1"/>
  <c r="X11" i="22"/>
  <c r="E27" i="22"/>
  <c r="Y11" i="22"/>
  <c r="J11" i="22"/>
  <c r="I11" i="22"/>
  <c r="V10" i="16"/>
  <c r="I26" i="16" s="1"/>
  <c r="J25" i="16"/>
  <c r="L26" i="16"/>
  <c r="K25" i="16"/>
  <c r="S25" i="16" s="1"/>
  <c r="N26" i="16"/>
  <c r="M26" i="16"/>
  <c r="X26" i="19"/>
  <c r="Y26" i="19" s="1"/>
  <c r="AD26" i="19" s="1"/>
  <c r="AE26" i="19" s="1"/>
  <c r="H26" i="18"/>
  <c r="I23" i="13"/>
  <c r="AL24" i="18"/>
  <c r="N26" i="18"/>
  <c r="M26" i="18"/>
  <c r="D27" i="18"/>
  <c r="F11" i="18"/>
  <c r="K26" i="18"/>
  <c r="L26" i="18"/>
  <c r="J26" i="18"/>
  <c r="D24" i="13"/>
  <c r="F8" i="13"/>
  <c r="W27" i="19"/>
  <c r="O27" i="19"/>
  <c r="P27" i="19" s="1"/>
  <c r="J23" i="13"/>
  <c r="K23" i="13"/>
  <c r="L23" i="13"/>
  <c r="M23" i="13"/>
  <c r="N23" i="13"/>
  <c r="AF26" i="19"/>
  <c r="AG26" i="19" s="1"/>
  <c r="I12" i="19"/>
  <c r="E28" i="19"/>
  <c r="H12" i="19"/>
  <c r="W12" i="19" s="1"/>
  <c r="Y12" i="19"/>
  <c r="X12" i="19"/>
  <c r="J12" i="19"/>
  <c r="D13" i="19"/>
  <c r="D29" i="19" s="1"/>
  <c r="G28" i="19"/>
  <c r="G27" i="12"/>
  <c r="M27" i="12" s="1"/>
  <c r="AD25" i="17"/>
  <c r="AE25" i="17" s="1"/>
  <c r="E11" i="15"/>
  <c r="J11" i="15" s="1"/>
  <c r="Q26" i="17"/>
  <c r="R26" i="17"/>
  <c r="U26" i="17" s="1"/>
  <c r="G11" i="15"/>
  <c r="G27" i="15" s="1"/>
  <c r="N27" i="15" s="1"/>
  <c r="W26" i="15"/>
  <c r="O26" i="15"/>
  <c r="P26" i="15" s="1"/>
  <c r="Q26" i="15" s="1"/>
  <c r="AB26" i="15" s="1"/>
  <c r="AC26" i="15" s="1"/>
  <c r="G11" i="14"/>
  <c r="G27" i="14" s="1"/>
  <c r="E11" i="14"/>
  <c r="H11" i="14" s="1"/>
  <c r="T27" i="7"/>
  <c r="AD27" i="7"/>
  <c r="U27" i="7"/>
  <c r="AF27" i="7"/>
  <c r="AG27" i="7" s="1"/>
  <c r="V27" i="7"/>
  <c r="P27" i="7"/>
  <c r="Z27" i="7"/>
  <c r="AA27" i="7"/>
  <c r="Y27" i="7"/>
  <c r="AB27" i="7"/>
  <c r="X27" i="7"/>
  <c r="S27" i="7"/>
  <c r="R27" i="7"/>
  <c r="AH27" i="7"/>
  <c r="AI27" i="7"/>
  <c r="O27" i="7"/>
  <c r="Q27" i="7"/>
  <c r="W27" i="7"/>
  <c r="AL27" i="7"/>
  <c r="AE27" i="7"/>
  <c r="AC27" i="7"/>
  <c r="F28" i="7"/>
  <c r="E12" i="7"/>
  <c r="G12" i="7"/>
  <c r="G11" i="10"/>
  <c r="F27" i="10"/>
  <c r="E11" i="10"/>
  <c r="T25" i="10"/>
  <c r="V25" i="10" s="1"/>
  <c r="AF25" i="10" s="1"/>
  <c r="AG25" i="10" s="1"/>
  <c r="X25" i="10"/>
  <c r="Y25" i="10" s="1"/>
  <c r="W26" i="10"/>
  <c r="O26" i="10"/>
  <c r="P26" i="10" s="1"/>
  <c r="Q26" i="10" s="1"/>
  <c r="AB26" i="10" s="1"/>
  <c r="AC26" i="10" s="1"/>
  <c r="L27" i="12"/>
  <c r="K27" i="12"/>
  <c r="J27" i="12"/>
  <c r="G9" i="2"/>
  <c r="F25" i="2"/>
  <c r="X23" i="2"/>
  <c r="Y23" i="2" s="1"/>
  <c r="AB23" i="2" s="1"/>
  <c r="AC23" i="2" s="1"/>
  <c r="Z23" i="2"/>
  <c r="AA23" i="2" s="1"/>
  <c r="Q24" i="2"/>
  <c r="M24" i="2"/>
  <c r="N24" i="2" s="1"/>
  <c r="P24" i="2" s="1"/>
  <c r="S24" i="2" s="1"/>
  <c r="U24" i="2"/>
  <c r="V24" i="2" s="1"/>
  <c r="W24" i="2" s="1"/>
  <c r="R24" i="2"/>
  <c r="I27" i="12"/>
  <c r="W27" i="11"/>
  <c r="O27" i="11"/>
  <c r="P27" i="11" s="1"/>
  <c r="F12" i="12"/>
  <c r="H27" i="12"/>
  <c r="H27" i="14"/>
  <c r="T26" i="11"/>
  <c r="V26" i="11" s="1"/>
  <c r="X26" i="11"/>
  <c r="Y26" i="11" s="1"/>
  <c r="R26" i="14"/>
  <c r="V26" i="14"/>
  <c r="P26" i="14"/>
  <c r="AA26" i="14"/>
  <c r="T26" i="14"/>
  <c r="S26" i="14"/>
  <c r="Q26" i="14"/>
  <c r="Z26" i="14"/>
  <c r="AF26" i="14"/>
  <c r="AG26" i="14" s="1"/>
  <c r="AL26" i="14"/>
  <c r="O26" i="14"/>
  <c r="U26" i="14"/>
  <c r="X26" i="14"/>
  <c r="AH26" i="14"/>
  <c r="AB26" i="14"/>
  <c r="Y26" i="14"/>
  <c r="AC26" i="14"/>
  <c r="W26" i="14"/>
  <c r="AE26" i="14"/>
  <c r="AD26" i="14"/>
  <c r="AI26" i="14"/>
  <c r="AH25" i="17"/>
  <c r="AH25" i="22"/>
  <c r="AH26" i="19"/>
  <c r="AF23" i="2"/>
  <c r="AI26" i="19"/>
  <c r="AI25" i="22"/>
  <c r="AI22" i="25"/>
  <c r="AH22" i="25"/>
  <c r="AI25" i="10"/>
  <c r="H11" i="17" l="1"/>
  <c r="W11" i="17" s="1"/>
  <c r="H27" i="17" s="1"/>
  <c r="E12" i="11"/>
  <c r="G27" i="17"/>
  <c r="H28" i="28"/>
  <c r="F13" i="28"/>
  <c r="G13" i="28" s="1"/>
  <c r="J11" i="17"/>
  <c r="N28" i="28"/>
  <c r="M28" i="28"/>
  <c r="I28" i="28"/>
  <c r="J28" i="28"/>
  <c r="L28" i="28"/>
  <c r="K28" i="28"/>
  <c r="G12" i="11"/>
  <c r="I11" i="17"/>
  <c r="F27" i="24"/>
  <c r="F9" i="25"/>
  <c r="G9" i="25" s="1"/>
  <c r="AL22" i="25"/>
  <c r="D13" i="27"/>
  <c r="D29" i="27" s="1"/>
  <c r="G28" i="27"/>
  <c r="T25" i="24"/>
  <c r="V25" i="24" s="1"/>
  <c r="X25" i="24"/>
  <c r="Y25" i="24" s="1"/>
  <c r="V12" i="27"/>
  <c r="J12" i="27"/>
  <c r="H12" i="27"/>
  <c r="I12" i="27"/>
  <c r="E28" i="27"/>
  <c r="Y12" i="27"/>
  <c r="X12" i="27"/>
  <c r="W12" i="27"/>
  <c r="X11" i="24"/>
  <c r="Y11" i="24"/>
  <c r="E27" i="24"/>
  <c r="J11" i="24"/>
  <c r="I11" i="24"/>
  <c r="H11" i="24"/>
  <c r="W11" i="24" s="1"/>
  <c r="H24" i="25"/>
  <c r="T26" i="21"/>
  <c r="V26" i="21" s="1"/>
  <c r="X26" i="21"/>
  <c r="Y26" i="21" s="1"/>
  <c r="G27" i="24"/>
  <c r="D12" i="24"/>
  <c r="D28" i="24" s="1"/>
  <c r="M24" i="25"/>
  <c r="N24" i="25"/>
  <c r="I11" i="23"/>
  <c r="H11" i="23"/>
  <c r="V11" i="23" s="1"/>
  <c r="J11" i="23"/>
  <c r="E27" i="23"/>
  <c r="Y11" i="23"/>
  <c r="X11" i="23"/>
  <c r="W26" i="24"/>
  <c r="O26" i="24"/>
  <c r="P26" i="24" s="1"/>
  <c r="R26" i="24" s="1"/>
  <c r="U26" i="24" s="1"/>
  <c r="G27" i="23"/>
  <c r="D12" i="23"/>
  <c r="D28" i="23" s="1"/>
  <c r="F25" i="25"/>
  <c r="E9" i="25"/>
  <c r="X11" i="26"/>
  <c r="W11" i="26"/>
  <c r="V11" i="26"/>
  <c r="J11" i="26"/>
  <c r="I11" i="26"/>
  <c r="E27" i="26"/>
  <c r="Y11" i="26"/>
  <c r="H11" i="26"/>
  <c r="AD25" i="23"/>
  <c r="AE25" i="23" s="1"/>
  <c r="AF25" i="23"/>
  <c r="AG25" i="23" s="1"/>
  <c r="V8" i="25"/>
  <c r="I24" i="25" s="1"/>
  <c r="D12" i="26"/>
  <c r="D28" i="26" s="1"/>
  <c r="G27" i="26"/>
  <c r="F28" i="21"/>
  <c r="G12" i="21"/>
  <c r="E12" i="21"/>
  <c r="L24" i="25"/>
  <c r="K23" i="25"/>
  <c r="S23" i="25" s="1"/>
  <c r="J23" i="25"/>
  <c r="Q26" i="23"/>
  <c r="O27" i="21"/>
  <c r="P27" i="21" s="1"/>
  <c r="R27" i="21" s="1"/>
  <c r="U27" i="21" s="1"/>
  <c r="W27" i="21"/>
  <c r="V12" i="19"/>
  <c r="I28" i="19" s="1"/>
  <c r="E11" i="16"/>
  <c r="E27" i="16" s="1"/>
  <c r="F27" i="16"/>
  <c r="H27" i="22"/>
  <c r="AL25" i="22"/>
  <c r="L27" i="22"/>
  <c r="K26" i="22"/>
  <c r="S26" i="22" s="1"/>
  <c r="J26" i="22"/>
  <c r="Z26" i="22"/>
  <c r="AA26" i="22" s="1"/>
  <c r="AB26" i="22"/>
  <c r="AC26" i="22" s="1"/>
  <c r="F12" i="22"/>
  <c r="N27" i="22"/>
  <c r="M27" i="22"/>
  <c r="V11" i="22"/>
  <c r="I27" i="22" s="1"/>
  <c r="O26" i="16"/>
  <c r="P26" i="16" s="1"/>
  <c r="R26" i="16" s="1"/>
  <c r="U26" i="16" s="1"/>
  <c r="W26" i="16"/>
  <c r="T25" i="16"/>
  <c r="V25" i="16" s="1"/>
  <c r="X25" i="16"/>
  <c r="Y25" i="16" s="1"/>
  <c r="G27" i="16"/>
  <c r="D12" i="16"/>
  <c r="H28" i="19"/>
  <c r="F27" i="18"/>
  <c r="G11" i="18"/>
  <c r="E11" i="18"/>
  <c r="AF26" i="18"/>
  <c r="AG26" i="18" s="1"/>
  <c r="V26" i="18"/>
  <c r="AC26" i="18"/>
  <c r="T26" i="18"/>
  <c r="U26" i="18"/>
  <c r="AE26" i="18"/>
  <c r="Q26" i="18"/>
  <c r="X26" i="18"/>
  <c r="S26" i="18"/>
  <c r="AI26" i="18"/>
  <c r="P26" i="18"/>
  <c r="Z26" i="18"/>
  <c r="AD26" i="18"/>
  <c r="O26" i="18"/>
  <c r="W26" i="18"/>
  <c r="R26" i="18"/>
  <c r="AH26" i="18"/>
  <c r="AB26" i="18"/>
  <c r="Y26" i="18"/>
  <c r="AL26" i="18"/>
  <c r="AA26" i="18"/>
  <c r="R27" i="19"/>
  <c r="U27" i="19" s="1"/>
  <c r="Q27" i="19"/>
  <c r="Z27" i="19" s="1"/>
  <c r="AA27" i="19" s="1"/>
  <c r="Q23" i="13"/>
  <c r="AI23" i="13"/>
  <c r="S23" i="13"/>
  <c r="AF23" i="13"/>
  <c r="AG23" i="13" s="1"/>
  <c r="V23" i="13"/>
  <c r="R23" i="13"/>
  <c r="T23" i="13"/>
  <c r="P23" i="13"/>
  <c r="AE23" i="13"/>
  <c r="W23" i="13"/>
  <c r="AC23" i="13"/>
  <c r="AD23" i="13"/>
  <c r="U23" i="13"/>
  <c r="AB23" i="13"/>
  <c r="Y23" i="13"/>
  <c r="X23" i="13"/>
  <c r="O23" i="13"/>
  <c r="AL23" i="13"/>
  <c r="AA23" i="13"/>
  <c r="Z23" i="13"/>
  <c r="AH23" i="13"/>
  <c r="E8" i="13"/>
  <c r="F24" i="13"/>
  <c r="G8" i="13"/>
  <c r="E27" i="15"/>
  <c r="L27" i="15" s="1"/>
  <c r="I11" i="15"/>
  <c r="N27" i="12"/>
  <c r="AL26" i="19"/>
  <c r="N28" i="19"/>
  <c r="M28" i="19"/>
  <c r="F13" i="19"/>
  <c r="L28" i="19"/>
  <c r="K27" i="19"/>
  <c r="S27" i="19" s="1"/>
  <c r="J27" i="19"/>
  <c r="M27" i="15"/>
  <c r="W27" i="15" s="1"/>
  <c r="Z26" i="15"/>
  <c r="AA26" i="15" s="1"/>
  <c r="AL25" i="17"/>
  <c r="D12" i="15"/>
  <c r="D28" i="15" s="1"/>
  <c r="E27" i="14"/>
  <c r="L27" i="14" s="1"/>
  <c r="L27" i="17"/>
  <c r="J26" i="17"/>
  <c r="K26" i="17"/>
  <c r="S26" i="17" s="1"/>
  <c r="M27" i="17"/>
  <c r="N27" i="17"/>
  <c r="V11" i="17"/>
  <c r="I27" i="17" s="1"/>
  <c r="F12" i="17"/>
  <c r="AB26" i="17"/>
  <c r="AC26" i="17" s="1"/>
  <c r="Z26" i="17"/>
  <c r="AA26" i="17" s="1"/>
  <c r="J11" i="14"/>
  <c r="H11" i="15"/>
  <c r="W11" i="15" s="1"/>
  <c r="H27" i="15" s="1"/>
  <c r="R26" i="15"/>
  <c r="U26" i="15" s="1"/>
  <c r="I11" i="14"/>
  <c r="D12" i="14"/>
  <c r="D28" i="14" s="1"/>
  <c r="Z26" i="10"/>
  <c r="AA26" i="10" s="1"/>
  <c r="T24" i="2"/>
  <c r="G28" i="7"/>
  <c r="D13" i="7"/>
  <c r="AD23" i="2"/>
  <c r="AE23" i="2" s="1"/>
  <c r="X12" i="7"/>
  <c r="Y12" i="7"/>
  <c r="E28" i="7"/>
  <c r="I12" i="7"/>
  <c r="V12" i="7"/>
  <c r="H12" i="7"/>
  <c r="J12" i="7"/>
  <c r="W12" i="7"/>
  <c r="AD25" i="10"/>
  <c r="AE25" i="10" s="1"/>
  <c r="J11" i="10"/>
  <c r="E27" i="10"/>
  <c r="H11" i="10"/>
  <c r="X11" i="10"/>
  <c r="I11" i="10"/>
  <c r="Y11" i="10"/>
  <c r="D12" i="10"/>
  <c r="D28" i="10" s="1"/>
  <c r="G27" i="10"/>
  <c r="R26" i="10"/>
  <c r="U26" i="10" s="1"/>
  <c r="Q27" i="11"/>
  <c r="R27" i="11"/>
  <c r="U27" i="11" s="1"/>
  <c r="AD26" i="11"/>
  <c r="AE26" i="11" s="1"/>
  <c r="AF26" i="11"/>
  <c r="AG26" i="11" s="1"/>
  <c r="Q27" i="12"/>
  <c r="O27" i="12"/>
  <c r="P27" i="12"/>
  <c r="Z27" i="12"/>
  <c r="AE27" i="12"/>
  <c r="AL27" i="12"/>
  <c r="AA27" i="12"/>
  <c r="V27" i="12"/>
  <c r="AD27" i="12"/>
  <c r="R27" i="12"/>
  <c r="AF27" i="12"/>
  <c r="AG27" i="12" s="1"/>
  <c r="AH27" i="12"/>
  <c r="W27" i="12"/>
  <c r="AB27" i="12"/>
  <c r="X27" i="12"/>
  <c r="S27" i="12"/>
  <c r="T27" i="12"/>
  <c r="U27" i="12"/>
  <c r="Y27" i="12"/>
  <c r="AC27" i="12"/>
  <c r="AI27" i="12"/>
  <c r="O24" i="2"/>
  <c r="G28" i="11"/>
  <c r="D13" i="11"/>
  <c r="D29" i="11" s="1"/>
  <c r="J12" i="11"/>
  <c r="E28" i="11"/>
  <c r="H12" i="11"/>
  <c r="W12" i="11" s="1"/>
  <c r="I12" i="11"/>
  <c r="Y12" i="11"/>
  <c r="X12" i="11"/>
  <c r="M27" i="14"/>
  <c r="N27" i="14"/>
  <c r="E12" i="12"/>
  <c r="G12" i="12"/>
  <c r="F28" i="12"/>
  <c r="G25" i="2"/>
  <c r="D10" i="2"/>
  <c r="D26" i="2" s="1"/>
  <c r="H9" i="2"/>
  <c r="U9" i="2" s="1"/>
  <c r="I25" i="2" s="1"/>
  <c r="I27" i="14"/>
  <c r="AI25" i="23"/>
  <c r="AH25" i="10"/>
  <c r="AH26" i="11"/>
  <c r="AH25" i="23"/>
  <c r="AG23" i="2"/>
  <c r="AI26" i="11"/>
  <c r="H27" i="24" l="1"/>
  <c r="E13" i="28"/>
  <c r="E29" i="28" s="1"/>
  <c r="W11" i="23"/>
  <c r="F29" i="28"/>
  <c r="AE28" i="28"/>
  <c r="Q28" i="28"/>
  <c r="AD28" i="28"/>
  <c r="P28" i="28"/>
  <c r="AC28" i="28"/>
  <c r="O28" i="28"/>
  <c r="X28" i="28"/>
  <c r="U28" i="28"/>
  <c r="T28" i="28"/>
  <c r="W28" i="28"/>
  <c r="AH28" i="28"/>
  <c r="S28" i="28"/>
  <c r="AL28" i="28"/>
  <c r="V28" i="28"/>
  <c r="R28" i="28"/>
  <c r="AB28" i="28"/>
  <c r="AA28" i="28"/>
  <c r="AF28" i="28"/>
  <c r="AG28" i="28" s="1"/>
  <c r="Z28" i="28"/>
  <c r="Y28" i="28"/>
  <c r="AI28" i="28"/>
  <c r="D14" i="28"/>
  <c r="D30" i="28" s="1"/>
  <c r="G29" i="28"/>
  <c r="J13" i="28"/>
  <c r="X13" i="28"/>
  <c r="H27" i="23"/>
  <c r="F12" i="23"/>
  <c r="G12" i="23" s="1"/>
  <c r="H11" i="16"/>
  <c r="V11" i="16" s="1"/>
  <c r="I27" i="16" s="1"/>
  <c r="I28" i="27"/>
  <c r="I27" i="23"/>
  <c r="AL25" i="23"/>
  <c r="L27" i="26"/>
  <c r="K27" i="26"/>
  <c r="J27" i="26"/>
  <c r="M27" i="23"/>
  <c r="N27" i="23"/>
  <c r="G28" i="21"/>
  <c r="D13" i="21"/>
  <c r="D29" i="21" s="1"/>
  <c r="AF26" i="21"/>
  <c r="AG26" i="21" s="1"/>
  <c r="AD26" i="21"/>
  <c r="AE26" i="21" s="1"/>
  <c r="K28" i="27"/>
  <c r="L28" i="27"/>
  <c r="J28" i="27"/>
  <c r="I12" i="21"/>
  <c r="X12" i="21"/>
  <c r="E28" i="21"/>
  <c r="Y12" i="21"/>
  <c r="J12" i="21"/>
  <c r="H12" i="21"/>
  <c r="W12" i="21" s="1"/>
  <c r="Q27" i="21"/>
  <c r="F12" i="26"/>
  <c r="I27" i="26"/>
  <c r="L27" i="23"/>
  <c r="J26" i="23"/>
  <c r="K26" i="23"/>
  <c r="S26" i="23" s="1"/>
  <c r="V11" i="24"/>
  <c r="I27" i="24" s="1"/>
  <c r="N27" i="26"/>
  <c r="M27" i="26"/>
  <c r="H27" i="26"/>
  <c r="Z26" i="23"/>
  <c r="AA26" i="23" s="1"/>
  <c r="AB26" i="23"/>
  <c r="AC26" i="23" s="1"/>
  <c r="T23" i="25"/>
  <c r="V23" i="25" s="1"/>
  <c r="X23" i="25"/>
  <c r="Y23" i="25" s="1"/>
  <c r="E25" i="25"/>
  <c r="J9" i="25"/>
  <c r="Y9" i="25"/>
  <c r="X9" i="25"/>
  <c r="H9" i="25"/>
  <c r="W9" i="25" s="1"/>
  <c r="I9" i="25"/>
  <c r="L27" i="24"/>
  <c r="K26" i="24"/>
  <c r="S26" i="24" s="1"/>
  <c r="J26" i="24"/>
  <c r="AD25" i="24"/>
  <c r="AE25" i="24" s="1"/>
  <c r="AF25" i="24"/>
  <c r="AG25" i="24" s="1"/>
  <c r="W24" i="25"/>
  <c r="O24" i="25"/>
  <c r="P24" i="25" s="1"/>
  <c r="R24" i="25" s="1"/>
  <c r="U24" i="25" s="1"/>
  <c r="F13" i="27"/>
  <c r="D10" i="25"/>
  <c r="D26" i="25" s="1"/>
  <c r="G25" i="25"/>
  <c r="Q26" i="24"/>
  <c r="F12" i="24"/>
  <c r="N28" i="27"/>
  <c r="M28" i="27"/>
  <c r="H28" i="27"/>
  <c r="N27" i="24"/>
  <c r="M27" i="24"/>
  <c r="I11" i="16"/>
  <c r="J11" i="16"/>
  <c r="O27" i="22"/>
  <c r="P27" i="22" s="1"/>
  <c r="Q27" i="22" s="1"/>
  <c r="W27" i="22"/>
  <c r="F28" i="22"/>
  <c r="E12" i="22"/>
  <c r="G12" i="22"/>
  <c r="T26" i="22"/>
  <c r="V26" i="22" s="1"/>
  <c r="X26" i="22"/>
  <c r="Y26" i="22" s="1"/>
  <c r="Q26" i="16"/>
  <c r="N27" i="16"/>
  <c r="M27" i="16"/>
  <c r="AD25" i="16"/>
  <c r="AE25" i="16" s="1"/>
  <c r="AF25" i="16"/>
  <c r="AG25" i="16" s="1"/>
  <c r="K26" i="16"/>
  <c r="S26" i="16" s="1"/>
  <c r="J26" i="16"/>
  <c r="L27" i="16"/>
  <c r="D28" i="16"/>
  <c r="F12" i="16"/>
  <c r="AB27" i="19"/>
  <c r="AC27" i="19" s="1"/>
  <c r="I11" i="18"/>
  <c r="X11" i="18"/>
  <c r="V11" i="18"/>
  <c r="W11" i="18"/>
  <c r="H11" i="18"/>
  <c r="Y11" i="18"/>
  <c r="E27" i="18"/>
  <c r="J11" i="18"/>
  <c r="D12" i="18"/>
  <c r="G27" i="18"/>
  <c r="J26" i="15"/>
  <c r="X26" i="15" s="1"/>
  <c r="V8" i="13"/>
  <c r="W8" i="13"/>
  <c r="J8" i="13"/>
  <c r="X8" i="13"/>
  <c r="E24" i="13"/>
  <c r="I8" i="13"/>
  <c r="H8" i="13"/>
  <c r="Y8" i="13"/>
  <c r="K26" i="15"/>
  <c r="D9" i="13"/>
  <c r="D25" i="13" s="1"/>
  <c r="G24" i="13"/>
  <c r="O27" i="15"/>
  <c r="P27" i="15" s="1"/>
  <c r="Q27" i="15" s="1"/>
  <c r="J27" i="14"/>
  <c r="K27" i="14"/>
  <c r="F12" i="15"/>
  <c r="F28" i="15" s="1"/>
  <c r="F29" i="19"/>
  <c r="G13" i="19"/>
  <c r="E13" i="19"/>
  <c r="O28" i="19"/>
  <c r="P28" i="19" s="1"/>
  <c r="W28" i="19"/>
  <c r="T27" i="19"/>
  <c r="V27" i="19" s="1"/>
  <c r="X27" i="19"/>
  <c r="Y27" i="19" s="1"/>
  <c r="G12" i="17"/>
  <c r="F28" i="17"/>
  <c r="E12" i="17"/>
  <c r="W27" i="17"/>
  <c r="O27" i="17"/>
  <c r="P27" i="17" s="1"/>
  <c r="T26" i="17"/>
  <c r="V26" i="17" s="1"/>
  <c r="X26" i="17"/>
  <c r="Y26" i="17" s="1"/>
  <c r="V11" i="15"/>
  <c r="I27" i="15" s="1"/>
  <c r="L27" i="10"/>
  <c r="K26" i="10"/>
  <c r="S26" i="10" s="1"/>
  <c r="F12" i="14"/>
  <c r="G12" i="14" s="1"/>
  <c r="I28" i="7"/>
  <c r="H28" i="7"/>
  <c r="H28" i="11"/>
  <c r="F12" i="10"/>
  <c r="E12" i="10" s="1"/>
  <c r="AJ23" i="2"/>
  <c r="J28" i="7"/>
  <c r="L28" i="7"/>
  <c r="K28" i="7"/>
  <c r="D29" i="7"/>
  <c r="F13" i="7"/>
  <c r="N28" i="7"/>
  <c r="M28" i="7"/>
  <c r="AL25" i="10"/>
  <c r="M27" i="10"/>
  <c r="N27" i="10"/>
  <c r="V12" i="11"/>
  <c r="I28" i="11" s="1"/>
  <c r="W11" i="10"/>
  <c r="H27" i="10" s="1"/>
  <c r="V11" i="10"/>
  <c r="I27" i="10" s="1"/>
  <c r="J26" i="10"/>
  <c r="F13" i="11"/>
  <c r="G13" i="11" s="1"/>
  <c r="F10" i="2"/>
  <c r="F26" i="2" s="1"/>
  <c r="AL26" i="11"/>
  <c r="M28" i="11"/>
  <c r="N28" i="11"/>
  <c r="Z24" i="2"/>
  <c r="AA24" i="2" s="1"/>
  <c r="X24" i="2"/>
  <c r="Y24" i="2" s="1"/>
  <c r="AB24" i="2" s="1"/>
  <c r="AC24" i="2" s="1"/>
  <c r="Z27" i="11"/>
  <c r="AA27" i="11" s="1"/>
  <c r="AB27" i="11"/>
  <c r="AC27" i="11" s="1"/>
  <c r="G28" i="12"/>
  <c r="D13" i="12"/>
  <c r="D29" i="12" s="1"/>
  <c r="L28" i="11"/>
  <c r="K27" i="11"/>
  <c r="S27" i="11" s="1"/>
  <c r="J27" i="11"/>
  <c r="E28" i="12"/>
  <c r="W12" i="12"/>
  <c r="I12" i="12"/>
  <c r="H12" i="12"/>
  <c r="V12" i="12"/>
  <c r="Y12" i="12"/>
  <c r="J12" i="12"/>
  <c r="X12" i="12"/>
  <c r="AE27" i="14"/>
  <c r="AA27" i="14"/>
  <c r="T27" i="14"/>
  <c r="S27" i="14"/>
  <c r="AH27" i="14"/>
  <c r="O27" i="14"/>
  <c r="V27" i="14"/>
  <c r="AF27" i="14"/>
  <c r="AG27" i="14" s="1"/>
  <c r="W27" i="14"/>
  <c r="X27" i="14"/>
  <c r="Y27" i="14"/>
  <c r="AL27" i="14"/>
  <c r="AB27" i="14"/>
  <c r="AD27" i="14"/>
  <c r="U27" i="14"/>
  <c r="P27" i="14"/>
  <c r="Q27" i="14"/>
  <c r="Z27" i="14"/>
  <c r="R27" i="14"/>
  <c r="AC27" i="14"/>
  <c r="AI27" i="14"/>
  <c r="K25" i="2"/>
  <c r="L25" i="2"/>
  <c r="AI25" i="24"/>
  <c r="AH26" i="21"/>
  <c r="AF24" i="2"/>
  <c r="AI25" i="16"/>
  <c r="AH25" i="24"/>
  <c r="AH25" i="16"/>
  <c r="AI26" i="21"/>
  <c r="E12" i="23" l="1"/>
  <c r="Y13" i="28"/>
  <c r="H13" i="28"/>
  <c r="V13" i="28"/>
  <c r="I29" i="28" s="1"/>
  <c r="I13" i="28"/>
  <c r="W13" i="28"/>
  <c r="H29" i="28"/>
  <c r="F14" i="28"/>
  <c r="N29" i="28"/>
  <c r="M29" i="28"/>
  <c r="L29" i="28"/>
  <c r="K29" i="28"/>
  <c r="J29" i="28"/>
  <c r="W11" i="16"/>
  <c r="H27" i="16" s="1"/>
  <c r="F28" i="23"/>
  <c r="H25" i="25"/>
  <c r="Q24" i="25"/>
  <c r="Z24" i="25" s="1"/>
  <c r="AA24" i="25" s="1"/>
  <c r="AL26" i="21"/>
  <c r="AL25" i="24"/>
  <c r="E12" i="24"/>
  <c r="F28" i="24"/>
  <c r="G12" i="24"/>
  <c r="Z27" i="21"/>
  <c r="AA27" i="21" s="1"/>
  <c r="AB27" i="21"/>
  <c r="AC27" i="21" s="1"/>
  <c r="Z26" i="24"/>
  <c r="AA26" i="24" s="1"/>
  <c r="AB26" i="24"/>
  <c r="AC26" i="24" s="1"/>
  <c r="V9" i="25"/>
  <c r="I25" i="25" s="1"/>
  <c r="AH27" i="26"/>
  <c r="V27" i="26"/>
  <c r="AB27" i="26"/>
  <c r="AA27" i="26"/>
  <c r="U27" i="26"/>
  <c r="Y27" i="26"/>
  <c r="O27" i="26"/>
  <c r="AD27" i="26"/>
  <c r="Z27" i="26"/>
  <c r="AE27" i="26"/>
  <c r="T27" i="26"/>
  <c r="S27" i="26"/>
  <c r="AL27" i="26"/>
  <c r="P27" i="26"/>
  <c r="X27" i="26"/>
  <c r="AC27" i="26"/>
  <c r="W27" i="26"/>
  <c r="Q27" i="26"/>
  <c r="R27" i="26"/>
  <c r="AF27" i="26"/>
  <c r="AG27" i="26" s="1"/>
  <c r="AI27" i="26"/>
  <c r="V12" i="21"/>
  <c r="I28" i="21" s="1"/>
  <c r="F13" i="21"/>
  <c r="F10" i="25"/>
  <c r="H28" i="21"/>
  <c r="F29" i="27"/>
  <c r="G13" i="27"/>
  <c r="E13" i="27"/>
  <c r="K27" i="21"/>
  <c r="S27" i="21" s="1"/>
  <c r="L28" i="21"/>
  <c r="J27" i="21"/>
  <c r="W27" i="23"/>
  <c r="O27" i="23"/>
  <c r="P27" i="23" s="1"/>
  <c r="R27" i="23" s="1"/>
  <c r="U27" i="23" s="1"/>
  <c r="N28" i="21"/>
  <c r="M28" i="21"/>
  <c r="Y28" i="27"/>
  <c r="W28" i="27"/>
  <c r="V28" i="27"/>
  <c r="AD28" i="27"/>
  <c r="U28" i="27"/>
  <c r="R28" i="27"/>
  <c r="AF28" i="27"/>
  <c r="AG28" i="27" s="1"/>
  <c r="AB28" i="27"/>
  <c r="T28" i="27"/>
  <c r="P28" i="27"/>
  <c r="AE28" i="27"/>
  <c r="AA28" i="27"/>
  <c r="S28" i="27"/>
  <c r="O28" i="27"/>
  <c r="Q28" i="27"/>
  <c r="X28" i="27"/>
  <c r="Z28" i="27"/>
  <c r="AH28" i="27"/>
  <c r="AL28" i="27"/>
  <c r="AC28" i="27"/>
  <c r="AI28" i="27"/>
  <c r="L25" i="25"/>
  <c r="J24" i="25"/>
  <c r="K24" i="25"/>
  <c r="S24" i="25" s="1"/>
  <c r="N25" i="25"/>
  <c r="M25" i="25"/>
  <c r="O27" i="24"/>
  <c r="P27" i="24" s="1"/>
  <c r="Q27" i="24" s="1"/>
  <c r="W27" i="24"/>
  <c r="G28" i="23"/>
  <c r="D13" i="23"/>
  <c r="D29" i="23" s="1"/>
  <c r="T26" i="24"/>
  <c r="V26" i="24" s="1"/>
  <c r="X26" i="24"/>
  <c r="Y26" i="24" s="1"/>
  <c r="X26" i="23"/>
  <c r="Y26" i="23" s="1"/>
  <c r="T26" i="23"/>
  <c r="V26" i="23" s="1"/>
  <c r="AF26" i="23" s="1"/>
  <c r="AG26" i="23" s="1"/>
  <c r="G12" i="26"/>
  <c r="E12" i="26"/>
  <c r="F28" i="26"/>
  <c r="Y12" i="23"/>
  <c r="J12" i="23"/>
  <c r="X12" i="23"/>
  <c r="I12" i="23"/>
  <c r="H12" i="23"/>
  <c r="V12" i="23" s="1"/>
  <c r="E28" i="23"/>
  <c r="AF23" i="25"/>
  <c r="AG23" i="25" s="1"/>
  <c r="AD23" i="25"/>
  <c r="AE23" i="25" s="1"/>
  <c r="F9" i="13"/>
  <c r="F25" i="13" s="1"/>
  <c r="AD26" i="22"/>
  <c r="AE26" i="22" s="1"/>
  <c r="AB27" i="22"/>
  <c r="AC27" i="22" s="1"/>
  <c r="Z27" i="22"/>
  <c r="AA27" i="22" s="1"/>
  <c r="R27" i="22"/>
  <c r="U27" i="22" s="1"/>
  <c r="G28" i="22"/>
  <c r="D13" i="22"/>
  <c r="D29" i="22" s="1"/>
  <c r="I12" i="22"/>
  <c r="E28" i="22"/>
  <c r="J12" i="22"/>
  <c r="H12" i="22"/>
  <c r="W12" i="22" s="1"/>
  <c r="X12" i="22"/>
  <c r="Y12" i="22"/>
  <c r="AF26" i="22"/>
  <c r="AG26" i="22" s="1"/>
  <c r="AB26" i="16"/>
  <c r="AC26" i="16" s="1"/>
  <c r="Z26" i="16"/>
  <c r="AA26" i="16" s="1"/>
  <c r="AL25" i="16"/>
  <c r="X26" i="16"/>
  <c r="Y26" i="16" s="1"/>
  <c r="T26" i="16"/>
  <c r="V26" i="16" s="1"/>
  <c r="F28" i="16"/>
  <c r="E12" i="16"/>
  <c r="G12" i="16"/>
  <c r="W27" i="16"/>
  <c r="O27" i="16"/>
  <c r="P27" i="16" s="1"/>
  <c r="AF27" i="19"/>
  <c r="AG27" i="19" s="1"/>
  <c r="I27" i="18"/>
  <c r="D28" i="18"/>
  <c r="F12" i="18"/>
  <c r="M27" i="18"/>
  <c r="N27" i="18"/>
  <c r="K27" i="18"/>
  <c r="J27" i="18"/>
  <c r="L27" i="18"/>
  <c r="H27" i="18"/>
  <c r="R27" i="15"/>
  <c r="U27" i="15" s="1"/>
  <c r="L24" i="13"/>
  <c r="J24" i="13"/>
  <c r="K24" i="13"/>
  <c r="M24" i="13"/>
  <c r="N24" i="13"/>
  <c r="H24" i="13"/>
  <c r="I24" i="13"/>
  <c r="E12" i="15"/>
  <c r="G12" i="15"/>
  <c r="R28" i="19"/>
  <c r="U28" i="19" s="1"/>
  <c r="Q28" i="19"/>
  <c r="J13" i="19"/>
  <c r="I13" i="19"/>
  <c r="H13" i="19"/>
  <c r="V13" i="19" s="1"/>
  <c r="E29" i="19"/>
  <c r="Y13" i="19"/>
  <c r="X13" i="19"/>
  <c r="G29" i="19"/>
  <c r="D14" i="19"/>
  <c r="D30" i="19" s="1"/>
  <c r="AD27" i="19"/>
  <c r="AE27" i="19" s="1"/>
  <c r="E12" i="14"/>
  <c r="E28" i="14" s="1"/>
  <c r="AD26" i="17"/>
  <c r="AE26" i="17" s="1"/>
  <c r="F28" i="14"/>
  <c r="AF26" i="17"/>
  <c r="AG26" i="17" s="1"/>
  <c r="R27" i="17"/>
  <c r="U27" i="17" s="1"/>
  <c r="Q27" i="17"/>
  <c r="H12" i="17"/>
  <c r="V12" i="17" s="1"/>
  <c r="I28" i="17" s="1"/>
  <c r="E28" i="17"/>
  <c r="J12" i="17"/>
  <c r="I12" i="17"/>
  <c r="D13" i="17"/>
  <c r="D29" i="17" s="1"/>
  <c r="G28" i="17"/>
  <c r="G12" i="10"/>
  <c r="H12" i="10" s="1"/>
  <c r="F28" i="10"/>
  <c r="Z27" i="15"/>
  <c r="AA27" i="15" s="1"/>
  <c r="AB27" i="15"/>
  <c r="AC27" i="15" s="1"/>
  <c r="I28" i="12"/>
  <c r="G10" i="2"/>
  <c r="G26" i="2" s="1"/>
  <c r="F13" i="12"/>
  <c r="F29" i="12" s="1"/>
  <c r="O28" i="7"/>
  <c r="U28" i="7"/>
  <c r="X28" i="7"/>
  <c r="Y28" i="7"/>
  <c r="W28" i="7"/>
  <c r="AC28" i="7"/>
  <c r="Z28" i="7"/>
  <c r="AI28" i="7"/>
  <c r="AH28" i="7"/>
  <c r="AB28" i="7"/>
  <c r="S28" i="7"/>
  <c r="AF28" i="7"/>
  <c r="AG28" i="7" s="1"/>
  <c r="R28" i="7"/>
  <c r="P28" i="7"/>
  <c r="AD28" i="7"/>
  <c r="Q28" i="7"/>
  <c r="AE28" i="7"/>
  <c r="AL28" i="7"/>
  <c r="T28" i="7"/>
  <c r="V28" i="7"/>
  <c r="AA28" i="7"/>
  <c r="F29" i="11"/>
  <c r="F29" i="7"/>
  <c r="E13" i="7"/>
  <c r="G13" i="7"/>
  <c r="E13" i="11"/>
  <c r="Y13" i="11" s="1"/>
  <c r="X26" i="10"/>
  <c r="Y26" i="10" s="1"/>
  <c r="T26" i="10"/>
  <c r="V26" i="10" s="1"/>
  <c r="E28" i="10"/>
  <c r="Y12" i="10"/>
  <c r="I12" i="10"/>
  <c r="X12" i="10"/>
  <c r="J12" i="10"/>
  <c r="W27" i="10"/>
  <c r="O27" i="10"/>
  <c r="P27" i="10" s="1"/>
  <c r="U25" i="2"/>
  <c r="V25" i="2" s="1"/>
  <c r="W25" i="2" s="1"/>
  <c r="R25" i="2"/>
  <c r="M25" i="2"/>
  <c r="N25" i="2" s="1"/>
  <c r="P25" i="2" s="1"/>
  <c r="S25" i="2" s="1"/>
  <c r="Q25" i="2"/>
  <c r="N28" i="12"/>
  <c r="M28" i="12"/>
  <c r="I28" i="14"/>
  <c r="H28" i="12"/>
  <c r="G28" i="14"/>
  <c r="D13" i="14"/>
  <c r="D29" i="14" s="1"/>
  <c r="L28" i="12"/>
  <c r="K28" i="12"/>
  <c r="J28" i="12"/>
  <c r="T27" i="11"/>
  <c r="V27" i="11" s="1"/>
  <c r="AF27" i="11" s="1"/>
  <c r="AG27" i="11" s="1"/>
  <c r="X27" i="11"/>
  <c r="Y27" i="11" s="1"/>
  <c r="D14" i="11"/>
  <c r="D30" i="11" s="1"/>
  <c r="G29" i="11"/>
  <c r="W28" i="11"/>
  <c r="O28" i="11"/>
  <c r="P28" i="11" s="1"/>
  <c r="AD24" i="2"/>
  <c r="AE24" i="2" s="1"/>
  <c r="AH26" i="17"/>
  <c r="AI26" i="17"/>
  <c r="AI26" i="22"/>
  <c r="AH23" i="25"/>
  <c r="AI27" i="19"/>
  <c r="AH26" i="22"/>
  <c r="AI27" i="11"/>
  <c r="AI26" i="23"/>
  <c r="AI23" i="25"/>
  <c r="AH27" i="19"/>
  <c r="AG24" i="2"/>
  <c r="W12" i="23" l="1"/>
  <c r="AB24" i="25"/>
  <c r="AC24" i="25" s="1"/>
  <c r="Z29" i="28"/>
  <c r="Y29" i="28"/>
  <c r="X29" i="28"/>
  <c r="S29" i="28"/>
  <c r="AD29" i="28"/>
  <c r="P29" i="28"/>
  <c r="AF29" i="28"/>
  <c r="AG29" i="28" s="1"/>
  <c r="R29" i="28"/>
  <c r="AC29" i="28"/>
  <c r="O29" i="28"/>
  <c r="AE29" i="28"/>
  <c r="Q29" i="28"/>
  <c r="AB29" i="28"/>
  <c r="W29" i="28"/>
  <c r="T29" i="28"/>
  <c r="V29" i="28"/>
  <c r="U29" i="28"/>
  <c r="AA29" i="28"/>
  <c r="AH29" i="28"/>
  <c r="AL29" i="28"/>
  <c r="AI29" i="28"/>
  <c r="F30" i="28"/>
  <c r="G14" i="28"/>
  <c r="G30" i="28" s="1"/>
  <c r="E14" i="28"/>
  <c r="Q27" i="23"/>
  <c r="AB27" i="23" s="1"/>
  <c r="AC27" i="23" s="1"/>
  <c r="AL23" i="25"/>
  <c r="AB27" i="24"/>
  <c r="AC27" i="24" s="1"/>
  <c r="Z27" i="24"/>
  <c r="AA27" i="24" s="1"/>
  <c r="AD26" i="24"/>
  <c r="AE26" i="24" s="1"/>
  <c r="W25" i="25"/>
  <c r="O25" i="25"/>
  <c r="P25" i="25" s="1"/>
  <c r="R25" i="25" s="1"/>
  <c r="U25" i="25" s="1"/>
  <c r="J12" i="26"/>
  <c r="I12" i="26"/>
  <c r="E28" i="26"/>
  <c r="H12" i="26"/>
  <c r="Y12" i="26"/>
  <c r="V12" i="26"/>
  <c r="X12" i="26"/>
  <c r="W12" i="26"/>
  <c r="AD26" i="23"/>
  <c r="AE26" i="23" s="1"/>
  <c r="D13" i="26"/>
  <c r="D29" i="26" s="1"/>
  <c r="G28" i="26"/>
  <c r="X24" i="25"/>
  <c r="Y24" i="25" s="1"/>
  <c r="T24" i="25"/>
  <c r="V24" i="25" s="1"/>
  <c r="T27" i="21"/>
  <c r="V27" i="21" s="1"/>
  <c r="AF27" i="21" s="1"/>
  <c r="AG27" i="21" s="1"/>
  <c r="X27" i="21"/>
  <c r="Y27" i="21" s="1"/>
  <c r="O28" i="21"/>
  <c r="P28" i="21" s="1"/>
  <c r="R28" i="21" s="1"/>
  <c r="U28" i="21" s="1"/>
  <c r="W28" i="21"/>
  <c r="G28" i="24"/>
  <c r="D13" i="24"/>
  <c r="D29" i="24" s="1"/>
  <c r="H28" i="23"/>
  <c r="W13" i="27"/>
  <c r="V13" i="27"/>
  <c r="I13" i="27"/>
  <c r="Y13" i="27"/>
  <c r="J13" i="27"/>
  <c r="H13" i="27"/>
  <c r="X13" i="27"/>
  <c r="E29" i="27"/>
  <c r="L28" i="23"/>
  <c r="K27" i="23"/>
  <c r="S27" i="23" s="1"/>
  <c r="J27" i="23"/>
  <c r="T27" i="23" s="1"/>
  <c r="V27" i="23" s="1"/>
  <c r="AF26" i="24"/>
  <c r="AG26" i="24" s="1"/>
  <c r="G29" i="27"/>
  <c r="D14" i="27"/>
  <c r="E28" i="24"/>
  <c r="H12" i="24"/>
  <c r="V12" i="24" s="1"/>
  <c r="X12" i="24"/>
  <c r="I12" i="24"/>
  <c r="Y12" i="24"/>
  <c r="J12" i="24"/>
  <c r="I28" i="23"/>
  <c r="F13" i="23"/>
  <c r="R27" i="24"/>
  <c r="U27" i="24" s="1"/>
  <c r="Z27" i="23"/>
  <c r="AA27" i="23" s="1"/>
  <c r="N28" i="23"/>
  <c r="M28" i="23"/>
  <c r="E10" i="25"/>
  <c r="G10" i="25"/>
  <c r="F26" i="25"/>
  <c r="G13" i="21"/>
  <c r="F29" i="21"/>
  <c r="E13" i="21"/>
  <c r="G9" i="13"/>
  <c r="G25" i="13" s="1"/>
  <c r="E9" i="13"/>
  <c r="H9" i="13" s="1"/>
  <c r="H28" i="22"/>
  <c r="AL26" i="22"/>
  <c r="L28" i="22"/>
  <c r="K27" i="22"/>
  <c r="S27" i="22" s="1"/>
  <c r="J27" i="22"/>
  <c r="F13" i="22"/>
  <c r="N28" i="22"/>
  <c r="M28" i="22"/>
  <c r="V12" i="22"/>
  <c r="I28" i="22" s="1"/>
  <c r="R27" i="16"/>
  <c r="U27" i="16" s="1"/>
  <c r="Q27" i="16"/>
  <c r="G28" i="16"/>
  <c r="D13" i="16"/>
  <c r="J12" i="16"/>
  <c r="I12" i="16"/>
  <c r="H12" i="16"/>
  <c r="E28" i="16"/>
  <c r="AF26" i="16"/>
  <c r="AG26" i="16" s="1"/>
  <c r="AD26" i="16"/>
  <c r="AE26" i="16" s="1"/>
  <c r="AH27" i="18"/>
  <c r="P27" i="18"/>
  <c r="AC27" i="18"/>
  <c r="V27" i="18"/>
  <c r="AF27" i="18"/>
  <c r="AG27" i="18" s="1"/>
  <c r="R27" i="18"/>
  <c r="Q27" i="18"/>
  <c r="U27" i="18"/>
  <c r="AI27" i="18"/>
  <c r="AD27" i="18"/>
  <c r="Y27" i="18"/>
  <c r="AE27" i="18"/>
  <c r="W27" i="18"/>
  <c r="X27" i="18"/>
  <c r="T27" i="18"/>
  <c r="AL27" i="18"/>
  <c r="S27" i="18"/>
  <c r="AA27" i="18"/>
  <c r="O27" i="18"/>
  <c r="AB27" i="18"/>
  <c r="Z27" i="18"/>
  <c r="G12" i="18"/>
  <c r="F28" i="18"/>
  <c r="E12" i="18"/>
  <c r="V24" i="13"/>
  <c r="Y24" i="13"/>
  <c r="AF24" i="13"/>
  <c r="AG24" i="13" s="1"/>
  <c r="W24" i="13"/>
  <c r="AI24" i="13"/>
  <c r="P24" i="13"/>
  <c r="AH24" i="13"/>
  <c r="S24" i="13"/>
  <c r="U24" i="13"/>
  <c r="AD24" i="13"/>
  <c r="T24" i="13"/>
  <c r="X24" i="13"/>
  <c r="AB24" i="13"/>
  <c r="R24" i="13"/>
  <c r="O24" i="13"/>
  <c r="AA24" i="13"/>
  <c r="AE24" i="13"/>
  <c r="AC24" i="13"/>
  <c r="Z24" i="13"/>
  <c r="Q24" i="13"/>
  <c r="AL24" i="13"/>
  <c r="J12" i="14"/>
  <c r="W13" i="19"/>
  <c r="H29" i="19" s="1"/>
  <c r="I13" i="11"/>
  <c r="I29" i="19"/>
  <c r="G28" i="15"/>
  <c r="D13" i="15"/>
  <c r="H12" i="15"/>
  <c r="J12" i="15"/>
  <c r="I12" i="15"/>
  <c r="E28" i="15"/>
  <c r="AL27" i="19"/>
  <c r="L29" i="19"/>
  <c r="J28" i="19"/>
  <c r="K28" i="19"/>
  <c r="S28" i="19" s="1"/>
  <c r="Z28" i="19"/>
  <c r="AA28" i="19" s="1"/>
  <c r="AB28" i="19"/>
  <c r="AC28" i="19" s="1"/>
  <c r="N29" i="19"/>
  <c r="M29" i="19"/>
  <c r="F14" i="19"/>
  <c r="I12" i="14"/>
  <c r="H12" i="14"/>
  <c r="AL26" i="17"/>
  <c r="W12" i="17"/>
  <c r="H28" i="17" s="1"/>
  <c r="L28" i="17"/>
  <c r="K27" i="17"/>
  <c r="S27" i="17" s="1"/>
  <c r="J27" i="17"/>
  <c r="AB27" i="17"/>
  <c r="AC27" i="17" s="1"/>
  <c r="Z27" i="17"/>
  <c r="AA27" i="17" s="1"/>
  <c r="N28" i="17"/>
  <c r="M28" i="17"/>
  <c r="F13" i="17"/>
  <c r="J13" i="11"/>
  <c r="G28" i="10"/>
  <c r="M28" i="10" s="1"/>
  <c r="D13" i="10"/>
  <c r="D29" i="10" s="1"/>
  <c r="L28" i="10"/>
  <c r="K27" i="10"/>
  <c r="S27" i="10" s="1"/>
  <c r="E13" i="12"/>
  <c r="V13" i="12" s="1"/>
  <c r="H10" i="2"/>
  <c r="U10" i="2" s="1"/>
  <c r="I26" i="2" s="1"/>
  <c r="D11" i="2"/>
  <c r="D27" i="2" s="1"/>
  <c r="G13" i="12"/>
  <c r="G29" i="12" s="1"/>
  <c r="H13" i="11"/>
  <c r="V13" i="11" s="1"/>
  <c r="E29" i="11"/>
  <c r="L29" i="11" s="1"/>
  <c r="X13" i="11"/>
  <c r="G29" i="7"/>
  <c r="D14" i="7"/>
  <c r="D30" i="7" s="1"/>
  <c r="I13" i="7"/>
  <c r="V13" i="7"/>
  <c r="Y13" i="7"/>
  <c r="J13" i="7"/>
  <c r="X13" i="7"/>
  <c r="H13" i="7"/>
  <c r="E29" i="7"/>
  <c r="W13" i="7"/>
  <c r="R27" i="10"/>
  <c r="U27" i="10" s="1"/>
  <c r="Q27" i="10"/>
  <c r="W12" i="10"/>
  <c r="H28" i="10" s="1"/>
  <c r="V12" i="10"/>
  <c r="I28" i="10" s="1"/>
  <c r="F14" i="11"/>
  <c r="F30" i="11" s="1"/>
  <c r="J27" i="10"/>
  <c r="AD26" i="10"/>
  <c r="AE26" i="10" s="1"/>
  <c r="AF26" i="10"/>
  <c r="AG26" i="10" s="1"/>
  <c r="F13" i="14"/>
  <c r="G13" i="14" s="1"/>
  <c r="AJ24" i="2"/>
  <c r="Q28" i="11"/>
  <c r="R28" i="11"/>
  <c r="U28" i="11" s="1"/>
  <c r="T25" i="2"/>
  <c r="H28" i="14"/>
  <c r="O25" i="2"/>
  <c r="AD27" i="11"/>
  <c r="AE27" i="11" s="1"/>
  <c r="P28" i="12"/>
  <c r="U28" i="12"/>
  <c r="Z28" i="12"/>
  <c r="AA28" i="12"/>
  <c r="V28" i="12"/>
  <c r="AD28" i="12"/>
  <c r="AF28" i="12"/>
  <c r="AG28" i="12" s="1"/>
  <c r="S28" i="12"/>
  <c r="T28" i="12"/>
  <c r="X28" i="12"/>
  <c r="AC28" i="12"/>
  <c r="Q28" i="12"/>
  <c r="R28" i="12"/>
  <c r="AE28" i="12"/>
  <c r="Y28" i="12"/>
  <c r="AB28" i="12"/>
  <c r="AL28" i="12"/>
  <c r="AH28" i="12"/>
  <c r="W28" i="12"/>
  <c r="O28" i="12"/>
  <c r="AI28" i="12"/>
  <c r="M29" i="11"/>
  <c r="N29" i="11"/>
  <c r="J28" i="14"/>
  <c r="L28" i="14"/>
  <c r="K28" i="14"/>
  <c r="L26" i="2"/>
  <c r="K26" i="2"/>
  <c r="M28" i="14"/>
  <c r="N28" i="14"/>
  <c r="AI26" i="24"/>
  <c r="AI27" i="21"/>
  <c r="AH26" i="23"/>
  <c r="AH26" i="24"/>
  <c r="AH26" i="16"/>
  <c r="AH27" i="11"/>
  <c r="AI26" i="10"/>
  <c r="AH26" i="10"/>
  <c r="AI26" i="16"/>
  <c r="N30" i="28" l="1"/>
  <c r="M30" i="28"/>
  <c r="H14" i="28"/>
  <c r="E30" i="28"/>
  <c r="V14" i="28"/>
  <c r="Y14" i="28"/>
  <c r="W14" i="28"/>
  <c r="X14" i="28"/>
  <c r="J14" i="28"/>
  <c r="I14" i="28"/>
  <c r="AD27" i="21"/>
  <c r="AE27" i="21" s="1"/>
  <c r="AD24" i="25"/>
  <c r="AE24" i="25" s="1"/>
  <c r="Q25" i="25"/>
  <c r="AB25" i="25" s="1"/>
  <c r="AC25" i="25" s="1"/>
  <c r="I29" i="27"/>
  <c r="H29" i="27"/>
  <c r="AF24" i="25"/>
  <c r="AG24" i="25" s="1"/>
  <c r="AL26" i="24"/>
  <c r="AL26" i="23"/>
  <c r="N29" i="27"/>
  <c r="M29" i="27"/>
  <c r="F29" i="23"/>
  <c r="G13" i="23"/>
  <c r="E13" i="23"/>
  <c r="Y13" i="21"/>
  <c r="E29" i="21"/>
  <c r="X13" i="21"/>
  <c r="I13" i="21"/>
  <c r="H13" i="21"/>
  <c r="W13" i="21" s="1"/>
  <c r="J13" i="21"/>
  <c r="AF27" i="23"/>
  <c r="AG27" i="23" s="1"/>
  <c r="F13" i="24"/>
  <c r="J28" i="26"/>
  <c r="K28" i="26"/>
  <c r="L28" i="26"/>
  <c r="G29" i="21"/>
  <c r="D14" i="21"/>
  <c r="D30" i="21" s="1"/>
  <c r="W12" i="24"/>
  <c r="H28" i="24" s="1"/>
  <c r="N28" i="24"/>
  <c r="M28" i="24"/>
  <c r="L29" i="27"/>
  <c r="K29" i="27"/>
  <c r="J29" i="27"/>
  <c r="F13" i="26"/>
  <c r="G26" i="25"/>
  <c r="D11" i="25"/>
  <c r="D27" i="25" s="1"/>
  <c r="N28" i="26"/>
  <c r="M28" i="26"/>
  <c r="O28" i="23"/>
  <c r="P28" i="23" s="1"/>
  <c r="Q28" i="23" s="1"/>
  <c r="W28" i="23"/>
  <c r="Q28" i="21"/>
  <c r="I28" i="24"/>
  <c r="H28" i="26"/>
  <c r="E26" i="25"/>
  <c r="J10" i="25"/>
  <c r="Y10" i="25"/>
  <c r="I10" i="25"/>
  <c r="X10" i="25"/>
  <c r="H10" i="25"/>
  <c r="W10" i="25" s="1"/>
  <c r="L28" i="24"/>
  <c r="J27" i="24"/>
  <c r="K27" i="24"/>
  <c r="S27" i="24" s="1"/>
  <c r="X27" i="23"/>
  <c r="Y27" i="23" s="1"/>
  <c r="AD27" i="23" s="1"/>
  <c r="AE27" i="23" s="1"/>
  <c r="D30" i="27"/>
  <c r="F14" i="27"/>
  <c r="I28" i="26"/>
  <c r="I9" i="13"/>
  <c r="Y9" i="13"/>
  <c r="W9" i="13"/>
  <c r="X9" i="13"/>
  <c r="J9" i="13"/>
  <c r="E25" i="13"/>
  <c r="K25" i="13" s="1"/>
  <c r="D10" i="13"/>
  <c r="F10" i="13" s="1"/>
  <c r="V9" i="13"/>
  <c r="W28" i="22"/>
  <c r="O28" i="22"/>
  <c r="P28" i="22" s="1"/>
  <c r="F29" i="22"/>
  <c r="E13" i="22"/>
  <c r="G13" i="22"/>
  <c r="X27" i="22"/>
  <c r="Y27" i="22" s="1"/>
  <c r="T27" i="22"/>
  <c r="V27" i="22" s="1"/>
  <c r="AL26" i="16"/>
  <c r="L28" i="16"/>
  <c r="K27" i="16"/>
  <c r="S27" i="16" s="1"/>
  <c r="J27" i="16"/>
  <c r="W12" i="16"/>
  <c r="H28" i="16" s="1"/>
  <c r="V12" i="16"/>
  <c r="I28" i="16" s="1"/>
  <c r="D29" i="16"/>
  <c r="F13" i="16"/>
  <c r="N28" i="16"/>
  <c r="M28" i="16"/>
  <c r="Z27" i="16"/>
  <c r="AA27" i="16" s="1"/>
  <c r="AB27" i="16"/>
  <c r="AC27" i="16" s="1"/>
  <c r="D13" i="18"/>
  <c r="D29" i="18" s="1"/>
  <c r="G28" i="18"/>
  <c r="J12" i="18"/>
  <c r="I12" i="18"/>
  <c r="H12" i="18"/>
  <c r="Y12" i="18"/>
  <c r="V12" i="18"/>
  <c r="E28" i="18"/>
  <c r="X12" i="18"/>
  <c r="W12" i="18"/>
  <c r="M25" i="13"/>
  <c r="N25" i="13"/>
  <c r="F13" i="10"/>
  <c r="F29" i="10" s="1"/>
  <c r="W12" i="15"/>
  <c r="H28" i="15" s="1"/>
  <c r="V12" i="15"/>
  <c r="I28" i="15" s="1"/>
  <c r="D29" i="15"/>
  <c r="F13" i="15"/>
  <c r="K27" i="15"/>
  <c r="L28" i="15"/>
  <c r="J27" i="15"/>
  <c r="X27" i="15" s="1"/>
  <c r="N28" i="15"/>
  <c r="M28" i="15"/>
  <c r="T28" i="19"/>
  <c r="V28" i="19" s="1"/>
  <c r="AF28" i="19" s="1"/>
  <c r="AG28" i="19" s="1"/>
  <c r="X28" i="19"/>
  <c r="Y28" i="19" s="1"/>
  <c r="O29" i="19"/>
  <c r="P29" i="19" s="1"/>
  <c r="W29" i="19"/>
  <c r="G14" i="19"/>
  <c r="G30" i="19" s="1"/>
  <c r="F30" i="19"/>
  <c r="E14" i="19"/>
  <c r="N28" i="10"/>
  <c r="O28" i="10" s="1"/>
  <c r="P28" i="10" s="1"/>
  <c r="J13" i="12"/>
  <c r="I13" i="12"/>
  <c r="K28" i="11"/>
  <c r="S28" i="11" s="1"/>
  <c r="O28" i="17"/>
  <c r="P28" i="17" s="1"/>
  <c r="R28" i="17" s="1"/>
  <c r="U28" i="17" s="1"/>
  <c r="W28" i="17"/>
  <c r="F29" i="17"/>
  <c r="E13" i="17"/>
  <c r="G13" i="17"/>
  <c r="T27" i="17"/>
  <c r="V27" i="17" s="1"/>
  <c r="X27" i="17"/>
  <c r="Y27" i="17" s="1"/>
  <c r="J28" i="11"/>
  <c r="T28" i="11" s="1"/>
  <c r="V28" i="11" s="1"/>
  <c r="Y13" i="12"/>
  <c r="W13" i="12"/>
  <c r="H29" i="7"/>
  <c r="D14" i="12"/>
  <c r="D30" i="12" s="1"/>
  <c r="E29" i="12"/>
  <c r="L29" i="12" s="1"/>
  <c r="W13" i="11"/>
  <c r="H29" i="11" s="1"/>
  <c r="F11" i="2"/>
  <c r="F27" i="2" s="1"/>
  <c r="H13" i="12"/>
  <c r="X13" i="12"/>
  <c r="I29" i="12" s="1"/>
  <c r="F14" i="7"/>
  <c r="F29" i="14"/>
  <c r="G14" i="11"/>
  <c r="G30" i="11" s="1"/>
  <c r="M30" i="11" s="1"/>
  <c r="E13" i="14"/>
  <c r="E29" i="14" s="1"/>
  <c r="E14" i="11"/>
  <c r="X14" i="11" s="1"/>
  <c r="I29" i="11"/>
  <c r="M29" i="7"/>
  <c r="N29" i="7"/>
  <c r="K29" i="7"/>
  <c r="J29" i="7"/>
  <c r="L29" i="7"/>
  <c r="I29" i="7"/>
  <c r="AL26" i="10"/>
  <c r="T27" i="10"/>
  <c r="V27" i="10" s="1"/>
  <c r="X27" i="10"/>
  <c r="Y27" i="10" s="1"/>
  <c r="W28" i="10"/>
  <c r="Z27" i="10"/>
  <c r="AA27" i="10" s="1"/>
  <c r="AB27" i="10"/>
  <c r="AC27" i="10" s="1"/>
  <c r="AL27" i="11"/>
  <c r="AB28" i="11"/>
  <c r="AC28" i="11" s="1"/>
  <c r="Z28" i="11"/>
  <c r="AA28" i="11" s="1"/>
  <c r="Z28" i="14"/>
  <c r="AD28" i="14"/>
  <c r="AF28" i="14"/>
  <c r="AG28" i="14" s="1"/>
  <c r="AA28" i="14"/>
  <c r="T28" i="14"/>
  <c r="S28" i="14"/>
  <c r="AB28" i="14"/>
  <c r="AE28" i="14"/>
  <c r="AH28" i="14"/>
  <c r="W28" i="14"/>
  <c r="X28" i="14"/>
  <c r="O28" i="14"/>
  <c r="R28" i="14"/>
  <c r="P28" i="14"/>
  <c r="AL28" i="14"/>
  <c r="AC28" i="14"/>
  <c r="U28" i="14"/>
  <c r="Y28" i="14"/>
  <c r="Q28" i="14"/>
  <c r="V28" i="14"/>
  <c r="AI28" i="14"/>
  <c r="I29" i="14"/>
  <c r="Z25" i="2"/>
  <c r="AA25" i="2" s="1"/>
  <c r="X25" i="2"/>
  <c r="Y25" i="2" s="1"/>
  <c r="AB25" i="2" s="1"/>
  <c r="AC25" i="2" s="1"/>
  <c r="M29" i="12"/>
  <c r="N29" i="12"/>
  <c r="G29" i="14"/>
  <c r="D14" i="14"/>
  <c r="D30" i="14" s="1"/>
  <c r="Q26" i="2"/>
  <c r="M26" i="2"/>
  <c r="N26" i="2" s="1"/>
  <c r="O26" i="2" s="1"/>
  <c r="R26" i="2"/>
  <c r="U26" i="2"/>
  <c r="V26" i="2" s="1"/>
  <c r="W26" i="2" s="1"/>
  <c r="O29" i="11"/>
  <c r="P29" i="11" s="1"/>
  <c r="W29" i="11"/>
  <c r="AI24" i="25"/>
  <c r="AF25" i="2"/>
  <c r="AI28" i="19"/>
  <c r="AI27" i="23"/>
  <c r="AH27" i="23"/>
  <c r="AH24" i="25"/>
  <c r="AH27" i="21"/>
  <c r="H30" i="28" l="1"/>
  <c r="J21" i="28" s="1"/>
  <c r="I30" i="28"/>
  <c r="K21" i="28" s="1"/>
  <c r="S21" i="28" s="1"/>
  <c r="J30" i="28"/>
  <c r="K30" i="28"/>
  <c r="L30" i="28"/>
  <c r="T23" i="28"/>
  <c r="V23" i="28" s="1"/>
  <c r="X23" i="28"/>
  <c r="Y23" i="28" s="1"/>
  <c r="AL30" i="28"/>
  <c r="U30" i="28"/>
  <c r="AH30" i="28"/>
  <c r="T30" i="28"/>
  <c r="S30" i="28"/>
  <c r="AB30" i="28"/>
  <c r="Y30" i="28"/>
  <c r="AA30" i="28"/>
  <c r="X30" i="28"/>
  <c r="W30" i="28"/>
  <c r="Z30" i="28"/>
  <c r="AE30" i="28"/>
  <c r="Q30" i="28"/>
  <c r="P30" i="28"/>
  <c r="AD30" i="28"/>
  <c r="R30" i="28"/>
  <c r="AC30" i="28"/>
  <c r="V30" i="28"/>
  <c r="O30" i="28"/>
  <c r="AF30" i="28"/>
  <c r="AG30" i="28" s="1"/>
  <c r="AI30" i="28"/>
  <c r="Z25" i="25"/>
  <c r="AA25" i="25" s="1"/>
  <c r="AL27" i="21"/>
  <c r="H26" i="25"/>
  <c r="V10" i="25"/>
  <c r="I26" i="25" s="1"/>
  <c r="AL24" i="25"/>
  <c r="Z28" i="23"/>
  <c r="AA28" i="23" s="1"/>
  <c r="AB28" i="23"/>
  <c r="AC28" i="23" s="1"/>
  <c r="F11" i="25"/>
  <c r="G11" i="25" s="1"/>
  <c r="V13" i="21"/>
  <c r="I29" i="21" s="1"/>
  <c r="R28" i="23"/>
  <c r="U28" i="23" s="1"/>
  <c r="AL27" i="23"/>
  <c r="M29" i="21"/>
  <c r="N29" i="21"/>
  <c r="X13" i="23"/>
  <c r="J13" i="23"/>
  <c r="I13" i="23"/>
  <c r="E29" i="23"/>
  <c r="H13" i="23"/>
  <c r="V13" i="23" s="1"/>
  <c r="Y13" i="23"/>
  <c r="Z28" i="21"/>
  <c r="AA28" i="21" s="1"/>
  <c r="AB28" i="21"/>
  <c r="AC28" i="21" s="1"/>
  <c r="M26" i="25"/>
  <c r="N26" i="25"/>
  <c r="D14" i="23"/>
  <c r="D30" i="23" s="1"/>
  <c r="G29" i="23"/>
  <c r="T27" i="24"/>
  <c r="V27" i="24" s="1"/>
  <c r="X27" i="24"/>
  <c r="Y27" i="24" s="1"/>
  <c r="L29" i="21"/>
  <c r="J28" i="21"/>
  <c r="K28" i="21"/>
  <c r="S28" i="21" s="1"/>
  <c r="G13" i="26"/>
  <c r="F29" i="26"/>
  <c r="E13" i="26"/>
  <c r="F30" i="27"/>
  <c r="G14" i="27"/>
  <c r="G30" i="27" s="1"/>
  <c r="E14" i="27"/>
  <c r="G13" i="24"/>
  <c r="E13" i="24"/>
  <c r="F29" i="24"/>
  <c r="O28" i="24"/>
  <c r="P28" i="24" s="1"/>
  <c r="R28" i="24" s="1"/>
  <c r="U28" i="24" s="1"/>
  <c r="W28" i="24"/>
  <c r="H29" i="21"/>
  <c r="U29" i="27"/>
  <c r="W29" i="27"/>
  <c r="R29" i="27"/>
  <c r="AE29" i="27"/>
  <c r="V29" i="27"/>
  <c r="S29" i="27"/>
  <c r="AH29" i="27"/>
  <c r="Z29" i="27"/>
  <c r="AD29" i="27"/>
  <c r="AF29" i="27"/>
  <c r="AG29" i="27" s="1"/>
  <c r="AC29" i="27"/>
  <c r="T29" i="27"/>
  <c r="Q29" i="27"/>
  <c r="Y29" i="27"/>
  <c r="AA29" i="27"/>
  <c r="X29" i="27"/>
  <c r="O29" i="27"/>
  <c r="AI29" i="27"/>
  <c r="AB29" i="27"/>
  <c r="P29" i="27"/>
  <c r="AL29" i="27"/>
  <c r="L26" i="25"/>
  <c r="J25" i="25"/>
  <c r="K25" i="25"/>
  <c r="S25" i="25" s="1"/>
  <c r="P28" i="26"/>
  <c r="T28" i="26"/>
  <c r="W28" i="26"/>
  <c r="AF28" i="26"/>
  <c r="AG28" i="26" s="1"/>
  <c r="X28" i="26"/>
  <c r="AA28" i="26"/>
  <c r="AI28" i="26"/>
  <c r="Y28" i="26"/>
  <c r="O28" i="26"/>
  <c r="Z28" i="26"/>
  <c r="AD28" i="26"/>
  <c r="R28" i="26"/>
  <c r="U28" i="26"/>
  <c r="AL28" i="26"/>
  <c r="AH28" i="26"/>
  <c r="AC28" i="26"/>
  <c r="V28" i="26"/>
  <c r="S28" i="26"/>
  <c r="Q28" i="26"/>
  <c r="AE28" i="26"/>
  <c r="AB28" i="26"/>
  <c r="F14" i="21"/>
  <c r="D26" i="13"/>
  <c r="J25" i="13"/>
  <c r="H25" i="13"/>
  <c r="I25" i="13"/>
  <c r="L25" i="13"/>
  <c r="R28" i="22"/>
  <c r="U28" i="22" s="1"/>
  <c r="Q28" i="22"/>
  <c r="J13" i="22"/>
  <c r="E29" i="22"/>
  <c r="X13" i="22"/>
  <c r="H13" i="22"/>
  <c r="W13" i="22" s="1"/>
  <c r="I13" i="22"/>
  <c r="Y13" i="22"/>
  <c r="AD27" i="22"/>
  <c r="AE27" i="22" s="1"/>
  <c r="AF27" i="22"/>
  <c r="AG27" i="22" s="1"/>
  <c r="G29" i="22"/>
  <c r="D14" i="22"/>
  <c r="D30" i="22" s="1"/>
  <c r="H28" i="18"/>
  <c r="F13" i="18"/>
  <c r="F29" i="18" s="1"/>
  <c r="F29" i="16"/>
  <c r="E13" i="16"/>
  <c r="G13" i="16"/>
  <c r="T27" i="16"/>
  <c r="V27" i="16" s="1"/>
  <c r="X27" i="16"/>
  <c r="Y27" i="16" s="1"/>
  <c r="W28" i="16"/>
  <c r="O28" i="16"/>
  <c r="P28" i="16" s="1"/>
  <c r="Q28" i="16" s="1"/>
  <c r="L28" i="18"/>
  <c r="J28" i="18"/>
  <c r="K28" i="18"/>
  <c r="I28" i="18"/>
  <c r="K29" i="12"/>
  <c r="G13" i="10"/>
  <c r="D14" i="10" s="1"/>
  <c r="D30" i="10" s="1"/>
  <c r="M28" i="18"/>
  <c r="N28" i="18"/>
  <c r="F26" i="13"/>
  <c r="E10" i="13"/>
  <c r="G10" i="13"/>
  <c r="N30" i="11"/>
  <c r="AD25" i="13"/>
  <c r="AC25" i="13"/>
  <c r="AA25" i="13"/>
  <c r="O25" i="13"/>
  <c r="AB25" i="13"/>
  <c r="V25" i="13"/>
  <c r="U25" i="13"/>
  <c r="AE25" i="13"/>
  <c r="R25" i="13"/>
  <c r="P25" i="13"/>
  <c r="AL25" i="13"/>
  <c r="Z25" i="13"/>
  <c r="X25" i="13"/>
  <c r="Q25" i="13"/>
  <c r="AF25" i="13"/>
  <c r="AG25" i="13" s="1"/>
  <c r="AH25" i="13"/>
  <c r="W25" i="13"/>
  <c r="S25" i="13"/>
  <c r="Y25" i="13"/>
  <c r="T25" i="13"/>
  <c r="AI25" i="13"/>
  <c r="E13" i="10"/>
  <c r="E29" i="10" s="1"/>
  <c r="J29" i="12"/>
  <c r="E13" i="15"/>
  <c r="F29" i="15"/>
  <c r="G13" i="15"/>
  <c r="O28" i="15"/>
  <c r="P28" i="15" s="1"/>
  <c r="R28" i="15" s="1"/>
  <c r="U28" i="15" s="1"/>
  <c r="W28" i="15"/>
  <c r="X28" i="11"/>
  <c r="Y28" i="11" s="1"/>
  <c r="AD28" i="11" s="1"/>
  <c r="AE28" i="11" s="1"/>
  <c r="H29" i="12"/>
  <c r="Q29" i="19"/>
  <c r="R29" i="19"/>
  <c r="U29" i="19" s="1"/>
  <c r="V14" i="19"/>
  <c r="I14" i="19"/>
  <c r="J14" i="19"/>
  <c r="H14" i="19"/>
  <c r="E30" i="19"/>
  <c r="Y14" i="19"/>
  <c r="X14" i="19"/>
  <c r="W14" i="19"/>
  <c r="N30" i="19"/>
  <c r="M30" i="19"/>
  <c r="AD28" i="19"/>
  <c r="AE28" i="19" s="1"/>
  <c r="F14" i="12"/>
  <c r="G14" i="12" s="1"/>
  <c r="G30" i="12" s="1"/>
  <c r="AD27" i="17"/>
  <c r="AE27" i="17" s="1"/>
  <c r="AF27" i="17"/>
  <c r="AG27" i="17" s="1"/>
  <c r="E29" i="17"/>
  <c r="I13" i="17"/>
  <c r="J13" i="17"/>
  <c r="H13" i="17"/>
  <c r="V13" i="17" s="1"/>
  <c r="I29" i="17" s="1"/>
  <c r="Q28" i="17"/>
  <c r="G29" i="17"/>
  <c r="D14" i="17"/>
  <c r="D30" i="17" s="1"/>
  <c r="G11" i="2"/>
  <c r="D12" i="2" s="1"/>
  <c r="D28" i="2" s="1"/>
  <c r="Y14" i="11"/>
  <c r="J14" i="11"/>
  <c r="W14" i="11"/>
  <c r="E30" i="11"/>
  <c r="L30" i="11" s="1"/>
  <c r="V14" i="11"/>
  <c r="I30" i="11" s="1"/>
  <c r="J13" i="14"/>
  <c r="I13" i="14"/>
  <c r="H13" i="14"/>
  <c r="H14" i="11"/>
  <c r="I14" i="11"/>
  <c r="F30" i="7"/>
  <c r="G14" i="7"/>
  <c r="G30" i="7" s="1"/>
  <c r="E14" i="7"/>
  <c r="AF27" i="10"/>
  <c r="AG27" i="10" s="1"/>
  <c r="AD27" i="10"/>
  <c r="AE27" i="10" s="1"/>
  <c r="AF28" i="11"/>
  <c r="AG28" i="11" s="1"/>
  <c r="AD29" i="7"/>
  <c r="X29" i="7"/>
  <c r="AC29" i="7"/>
  <c r="S29" i="7"/>
  <c r="AA29" i="7"/>
  <c r="Z29" i="7"/>
  <c r="V29" i="7"/>
  <c r="R29" i="7"/>
  <c r="AF29" i="7"/>
  <c r="AG29" i="7" s="1"/>
  <c r="P29" i="7"/>
  <c r="AL29" i="7"/>
  <c r="AE29" i="7"/>
  <c r="AI29" i="7"/>
  <c r="AB29" i="7"/>
  <c r="O29" i="7"/>
  <c r="T29" i="7"/>
  <c r="Q29" i="7"/>
  <c r="U29" i="7"/>
  <c r="AH29" i="7"/>
  <c r="Y29" i="7"/>
  <c r="W29" i="7"/>
  <c r="Q28" i="10"/>
  <c r="R28" i="10"/>
  <c r="U28" i="10" s="1"/>
  <c r="F14" i="14"/>
  <c r="E14" i="14" s="1"/>
  <c r="J14" i="14" s="1"/>
  <c r="X26" i="2"/>
  <c r="Y26" i="2" s="1"/>
  <c r="Z26" i="2"/>
  <c r="AA26" i="2" s="1"/>
  <c r="R29" i="11"/>
  <c r="U29" i="11" s="1"/>
  <c r="Q29" i="11"/>
  <c r="M29" i="14"/>
  <c r="N29" i="14"/>
  <c r="AD25" i="2"/>
  <c r="AE25" i="2" s="1"/>
  <c r="P26" i="2"/>
  <c r="S26" i="2" s="1"/>
  <c r="T26" i="2" s="1"/>
  <c r="AC30" i="11"/>
  <c r="O30" i="11"/>
  <c r="AA30" i="11"/>
  <c r="X30" i="11"/>
  <c r="W30" i="11"/>
  <c r="T30" i="11"/>
  <c r="AL30" i="11"/>
  <c r="S30" i="11"/>
  <c r="R30" i="11"/>
  <c r="AE30" i="11"/>
  <c r="AD30" i="11"/>
  <c r="AB30" i="11"/>
  <c r="Z30" i="11"/>
  <c r="Y30" i="11"/>
  <c r="U30" i="11"/>
  <c r="AH30" i="11"/>
  <c r="AF30" i="11"/>
  <c r="AG30" i="11" s="1"/>
  <c r="V30" i="11"/>
  <c r="Q30" i="11"/>
  <c r="P30" i="11"/>
  <c r="AI30" i="11"/>
  <c r="Q29" i="12"/>
  <c r="T29" i="12"/>
  <c r="Z29" i="12"/>
  <c r="AA29" i="12"/>
  <c r="AD29" i="12"/>
  <c r="AC29" i="12"/>
  <c r="AF29" i="12"/>
  <c r="AG29" i="12" s="1"/>
  <c r="U29" i="12"/>
  <c r="V29" i="12"/>
  <c r="S29" i="12"/>
  <c r="AB29" i="12"/>
  <c r="AL29" i="12"/>
  <c r="R29" i="12"/>
  <c r="W29" i="12"/>
  <c r="O29" i="12"/>
  <c r="Y29" i="12"/>
  <c r="X29" i="12"/>
  <c r="AE29" i="12"/>
  <c r="P29" i="12"/>
  <c r="AH29" i="12"/>
  <c r="AI29" i="12"/>
  <c r="H29" i="14"/>
  <c r="K29" i="14"/>
  <c r="L29" i="14"/>
  <c r="J29" i="14"/>
  <c r="AH27" i="17"/>
  <c r="AI27" i="17"/>
  <c r="AI28" i="11"/>
  <c r="AI27" i="10"/>
  <c r="AH27" i="10"/>
  <c r="AH28" i="11"/>
  <c r="AH27" i="22"/>
  <c r="AG25" i="2"/>
  <c r="AH28" i="19"/>
  <c r="AI27" i="22"/>
  <c r="T21" i="28" l="1"/>
  <c r="V21" i="28" s="1"/>
  <c r="X21" i="28"/>
  <c r="Y21" i="28" s="1"/>
  <c r="K23" i="28"/>
  <c r="S23" i="28" s="1"/>
  <c r="K22" i="28"/>
  <c r="S22" i="28" s="1"/>
  <c r="J23" i="28"/>
  <c r="J22" i="28"/>
  <c r="AF23" i="28"/>
  <c r="AG23" i="28" s="1"/>
  <c r="AD23" i="28"/>
  <c r="AE23" i="28" s="1"/>
  <c r="E11" i="25"/>
  <c r="J11" i="25" s="1"/>
  <c r="F27" i="25"/>
  <c r="W13" i="23"/>
  <c r="H29" i="23" s="1"/>
  <c r="Y13" i="24"/>
  <c r="H13" i="24"/>
  <c r="V13" i="24" s="1"/>
  <c r="E29" i="24"/>
  <c r="J13" i="24"/>
  <c r="I13" i="24"/>
  <c r="X13" i="24"/>
  <c r="AD27" i="24"/>
  <c r="AE27" i="24" s="1"/>
  <c r="AF27" i="24"/>
  <c r="AG27" i="24" s="1"/>
  <c r="G29" i="24"/>
  <c r="D14" i="24"/>
  <c r="D30" i="24" s="1"/>
  <c r="F14" i="23"/>
  <c r="I29" i="23"/>
  <c r="E14" i="21"/>
  <c r="F30" i="21"/>
  <c r="G14" i="21"/>
  <c r="G30" i="21" s="1"/>
  <c r="G27" i="25"/>
  <c r="D12" i="25"/>
  <c r="D28" i="25" s="1"/>
  <c r="H14" i="27"/>
  <c r="E30" i="27"/>
  <c r="J14" i="27"/>
  <c r="Y14" i="27"/>
  <c r="X14" i="27"/>
  <c r="W14" i="27"/>
  <c r="I14" i="27"/>
  <c r="V14" i="27"/>
  <c r="M29" i="23"/>
  <c r="N29" i="23"/>
  <c r="L29" i="23"/>
  <c r="J28" i="23"/>
  <c r="K28" i="23"/>
  <c r="S28" i="23" s="1"/>
  <c r="O26" i="25"/>
  <c r="P26" i="25" s="1"/>
  <c r="Q26" i="25" s="1"/>
  <c r="W26" i="25"/>
  <c r="Q28" i="24"/>
  <c r="D14" i="26"/>
  <c r="D30" i="26" s="1"/>
  <c r="G29" i="26"/>
  <c r="O29" i="21"/>
  <c r="P29" i="21" s="1"/>
  <c r="R29" i="21" s="1"/>
  <c r="U29" i="21" s="1"/>
  <c r="W29" i="21"/>
  <c r="J13" i="26"/>
  <c r="V13" i="26"/>
  <c r="E29" i="26"/>
  <c r="W13" i="26"/>
  <c r="H13" i="26"/>
  <c r="Y13" i="26"/>
  <c r="I13" i="26"/>
  <c r="X13" i="26"/>
  <c r="X11" i="25"/>
  <c r="H11" i="25"/>
  <c r="V11" i="25" s="1"/>
  <c r="Y11" i="25"/>
  <c r="E27" i="25"/>
  <c r="I11" i="25"/>
  <c r="N30" i="27"/>
  <c r="M30" i="27"/>
  <c r="X25" i="25"/>
  <c r="Y25" i="25" s="1"/>
  <c r="T25" i="25"/>
  <c r="V25" i="25" s="1"/>
  <c r="T28" i="21"/>
  <c r="V28" i="21" s="1"/>
  <c r="AF28" i="21" s="1"/>
  <c r="AG28" i="21" s="1"/>
  <c r="X28" i="21"/>
  <c r="Y28" i="21" s="1"/>
  <c r="R28" i="16"/>
  <c r="U28" i="16" s="1"/>
  <c r="J13" i="10"/>
  <c r="H29" i="22"/>
  <c r="X13" i="10"/>
  <c r="AL27" i="22"/>
  <c r="L29" i="22"/>
  <c r="J28" i="22"/>
  <c r="K28" i="22"/>
  <c r="S28" i="22" s="1"/>
  <c r="F14" i="22"/>
  <c r="V13" i="22"/>
  <c r="I29" i="22" s="1"/>
  <c r="Z28" i="22"/>
  <c r="AA28" i="22" s="1"/>
  <c r="AB28" i="22"/>
  <c r="AC28" i="22" s="1"/>
  <c r="M29" i="22"/>
  <c r="N29" i="22"/>
  <c r="E13" i="18"/>
  <c r="Y13" i="18" s="1"/>
  <c r="G13" i="18"/>
  <c r="D14" i="18" s="1"/>
  <c r="D30" i="18" s="1"/>
  <c r="Y13" i="10"/>
  <c r="G29" i="10"/>
  <c r="M29" i="10" s="1"/>
  <c r="I13" i="10"/>
  <c r="Z28" i="16"/>
  <c r="AA28" i="16" s="1"/>
  <c r="AB28" i="16"/>
  <c r="AC28" i="16" s="1"/>
  <c r="AF27" i="16"/>
  <c r="AG27" i="16" s="1"/>
  <c r="AD27" i="16"/>
  <c r="AE27" i="16" s="1"/>
  <c r="G29" i="16"/>
  <c r="D14" i="16"/>
  <c r="J13" i="16"/>
  <c r="E29" i="16"/>
  <c r="I13" i="16"/>
  <c r="H13" i="16"/>
  <c r="H13" i="10"/>
  <c r="V13" i="10" s="1"/>
  <c r="AD28" i="18"/>
  <c r="U28" i="18"/>
  <c r="R28" i="18"/>
  <c r="T28" i="18"/>
  <c r="AE28" i="18"/>
  <c r="V28" i="18"/>
  <c r="AC28" i="18"/>
  <c r="S28" i="18"/>
  <c r="Q28" i="18"/>
  <c r="P28" i="18"/>
  <c r="AL28" i="18"/>
  <c r="Z28" i="18"/>
  <c r="AH28" i="18"/>
  <c r="AF28" i="18"/>
  <c r="AG28" i="18" s="1"/>
  <c r="Y28" i="18"/>
  <c r="O28" i="18"/>
  <c r="AI28" i="18"/>
  <c r="AB28" i="18"/>
  <c r="X28" i="18"/>
  <c r="AA28" i="18"/>
  <c r="W28" i="18"/>
  <c r="Q28" i="15"/>
  <c r="Z28" i="15" s="1"/>
  <c r="AA28" i="15" s="1"/>
  <c r="D11" i="13"/>
  <c r="D27" i="13" s="1"/>
  <c r="G26" i="13"/>
  <c r="Y10" i="13"/>
  <c r="V10" i="13"/>
  <c r="I10" i="13"/>
  <c r="X10" i="13"/>
  <c r="J10" i="13"/>
  <c r="E26" i="13"/>
  <c r="H10" i="13"/>
  <c r="W10" i="13"/>
  <c r="F30" i="12"/>
  <c r="M30" i="12" s="1"/>
  <c r="J30" i="11"/>
  <c r="E14" i="12"/>
  <c r="H14" i="12" s="1"/>
  <c r="H30" i="19"/>
  <c r="J29" i="19" s="1"/>
  <c r="H30" i="11"/>
  <c r="J29" i="11" s="1"/>
  <c r="T29" i="11" s="1"/>
  <c r="V29" i="11" s="1"/>
  <c r="D14" i="15"/>
  <c r="G29" i="15"/>
  <c r="K29" i="11"/>
  <c r="S29" i="11" s="1"/>
  <c r="J13" i="15"/>
  <c r="I13" i="15"/>
  <c r="E29" i="15"/>
  <c r="H13" i="15"/>
  <c r="AL28" i="19"/>
  <c r="L30" i="19"/>
  <c r="K30" i="19"/>
  <c r="J30" i="19"/>
  <c r="I30" i="19"/>
  <c r="K29" i="19" s="1"/>
  <c r="S29" i="19" s="1"/>
  <c r="AL30" i="19"/>
  <c r="X30" i="19"/>
  <c r="V30" i="19"/>
  <c r="W30" i="19"/>
  <c r="AH30" i="19"/>
  <c r="U30" i="19"/>
  <c r="AF30" i="19"/>
  <c r="AG30" i="19" s="1"/>
  <c r="T30" i="19"/>
  <c r="AE30" i="19"/>
  <c r="S30" i="19"/>
  <c r="AD30" i="19"/>
  <c r="R30" i="19"/>
  <c r="AC30" i="19"/>
  <c r="Q30" i="19"/>
  <c r="AB30" i="19"/>
  <c r="AA30" i="19"/>
  <c r="P30" i="19"/>
  <c r="O30" i="19"/>
  <c r="Z30" i="19"/>
  <c r="Y30" i="19"/>
  <c r="AI30" i="19"/>
  <c r="AB29" i="19"/>
  <c r="AC29" i="19" s="1"/>
  <c r="Z29" i="19"/>
  <c r="AA29" i="19" s="1"/>
  <c r="G27" i="2"/>
  <c r="K27" i="2" s="1"/>
  <c r="H11" i="2"/>
  <c r="U11" i="2" s="1"/>
  <c r="I27" i="2" s="1"/>
  <c r="AL27" i="17"/>
  <c r="K30" i="11"/>
  <c r="F14" i="17"/>
  <c r="N29" i="17"/>
  <c r="M29" i="17"/>
  <c r="W13" i="17"/>
  <c r="H29" i="17" s="1"/>
  <c r="AB28" i="17"/>
  <c r="AC28" i="17" s="1"/>
  <c r="Z28" i="17"/>
  <c r="AA28" i="17" s="1"/>
  <c r="L29" i="17"/>
  <c r="K28" i="17"/>
  <c r="S28" i="17" s="1"/>
  <c r="J28" i="17"/>
  <c r="L29" i="10"/>
  <c r="K28" i="10"/>
  <c r="S28" i="10" s="1"/>
  <c r="J14" i="7"/>
  <c r="I14" i="7"/>
  <c r="H14" i="7"/>
  <c r="W14" i="7"/>
  <c r="V14" i="7"/>
  <c r="Y14" i="7"/>
  <c r="X14" i="7"/>
  <c r="E30" i="7"/>
  <c r="F14" i="10"/>
  <c r="E14" i="10" s="1"/>
  <c r="N30" i="7"/>
  <c r="M30" i="7"/>
  <c r="AL27" i="10"/>
  <c r="AL28" i="11"/>
  <c r="J28" i="10"/>
  <c r="F30" i="14"/>
  <c r="G14" i="14"/>
  <c r="G30" i="14" s="1"/>
  <c r="F12" i="2"/>
  <c r="G12" i="2" s="1"/>
  <c r="AB28" i="10"/>
  <c r="AC28" i="10" s="1"/>
  <c r="Z28" i="10"/>
  <c r="AA28" i="10" s="1"/>
  <c r="AJ25" i="2"/>
  <c r="V14" i="14"/>
  <c r="X14" i="14"/>
  <c r="E30" i="14"/>
  <c r="W14" i="14"/>
  <c r="H14" i="14"/>
  <c r="Y14" i="14"/>
  <c r="I14" i="14"/>
  <c r="Z29" i="11"/>
  <c r="AA29" i="11" s="1"/>
  <c r="AB29" i="11"/>
  <c r="AC29" i="11" s="1"/>
  <c r="AD26" i="2"/>
  <c r="AE26" i="2" s="1"/>
  <c r="U29" i="14"/>
  <c r="AD29" i="14"/>
  <c r="AC29" i="14"/>
  <c r="O29" i="14"/>
  <c r="P29" i="14"/>
  <c r="AE29" i="14"/>
  <c r="Q29" i="14"/>
  <c r="AH29" i="14"/>
  <c r="Z29" i="14"/>
  <c r="AA29" i="14"/>
  <c r="T29" i="14"/>
  <c r="S29" i="14"/>
  <c r="AB29" i="14"/>
  <c r="AL29" i="14"/>
  <c r="W29" i="14"/>
  <c r="X29" i="14"/>
  <c r="R29" i="14"/>
  <c r="AF29" i="14"/>
  <c r="AG29" i="14" s="1"/>
  <c r="V29" i="14"/>
  <c r="Y29" i="14"/>
  <c r="AI29" i="14"/>
  <c r="AB26" i="2"/>
  <c r="AC26" i="2" s="1"/>
  <c r="AI23" i="28"/>
  <c r="AH23" i="28"/>
  <c r="AF26" i="2"/>
  <c r="AG26" i="2"/>
  <c r="AH27" i="24"/>
  <c r="AI27" i="24"/>
  <c r="AH27" i="16"/>
  <c r="AI28" i="21"/>
  <c r="AI27" i="16"/>
  <c r="AF21" i="28" l="1"/>
  <c r="AG21" i="28" s="1"/>
  <c r="AD21" i="28"/>
  <c r="AE21" i="28" s="1"/>
  <c r="X22" i="28"/>
  <c r="Y22" i="28" s="1"/>
  <c r="T22" i="28"/>
  <c r="V22" i="28" s="1"/>
  <c r="W13" i="24"/>
  <c r="H29" i="24" s="1"/>
  <c r="AL23" i="28"/>
  <c r="W11" i="25"/>
  <c r="H27" i="25" s="1"/>
  <c r="I29" i="26"/>
  <c r="F14" i="24"/>
  <c r="E14" i="24" s="1"/>
  <c r="Q29" i="21"/>
  <c r="AB29" i="21" s="1"/>
  <c r="AC29" i="21" s="1"/>
  <c r="I27" i="25"/>
  <c r="N29" i="10"/>
  <c r="O29" i="10" s="1"/>
  <c r="P29" i="10" s="1"/>
  <c r="H29" i="26"/>
  <c r="R26" i="25"/>
  <c r="U26" i="25" s="1"/>
  <c r="AL27" i="24"/>
  <c r="AB26" i="25"/>
  <c r="AC26" i="25" s="1"/>
  <c r="Z26" i="25"/>
  <c r="AA26" i="25" s="1"/>
  <c r="AB28" i="24"/>
  <c r="AC28" i="24" s="1"/>
  <c r="Z28" i="24"/>
  <c r="AA28" i="24" s="1"/>
  <c r="L30" i="27"/>
  <c r="K30" i="27"/>
  <c r="J30" i="27"/>
  <c r="N29" i="24"/>
  <c r="M29" i="24"/>
  <c r="L27" i="25"/>
  <c r="K26" i="25"/>
  <c r="S26" i="25" s="1"/>
  <c r="J26" i="25"/>
  <c r="T26" i="25" s="1"/>
  <c r="T28" i="23"/>
  <c r="V28" i="23" s="1"/>
  <c r="X28" i="23"/>
  <c r="Y28" i="23" s="1"/>
  <c r="F12" i="25"/>
  <c r="W29" i="23"/>
  <c r="O29" i="23"/>
  <c r="P29" i="23" s="1"/>
  <c r="R29" i="23" s="1"/>
  <c r="U29" i="23" s="1"/>
  <c r="N30" i="21"/>
  <c r="M30" i="21"/>
  <c r="L29" i="26"/>
  <c r="J29" i="26"/>
  <c r="K29" i="26"/>
  <c r="AF25" i="25"/>
  <c r="AG25" i="25" s="1"/>
  <c r="AD25" i="25"/>
  <c r="AE25" i="25" s="1"/>
  <c r="I30" i="27"/>
  <c r="K21" i="27" s="1"/>
  <c r="S21" i="27" s="1"/>
  <c r="AD28" i="21"/>
  <c r="AE28" i="21" s="1"/>
  <c r="X14" i="21"/>
  <c r="W14" i="21"/>
  <c r="E30" i="21"/>
  <c r="V14" i="21"/>
  <c r="I14" i="21"/>
  <c r="Y14" i="21"/>
  <c r="H14" i="21"/>
  <c r="J14" i="21"/>
  <c r="L29" i="24"/>
  <c r="K28" i="24"/>
  <c r="S28" i="24" s="1"/>
  <c r="J28" i="24"/>
  <c r="T30" i="27"/>
  <c r="O30" i="27"/>
  <c r="AC30" i="27"/>
  <c r="X30" i="27"/>
  <c r="AD30" i="27"/>
  <c r="AI30" i="27"/>
  <c r="AB30" i="27"/>
  <c r="AE30" i="27"/>
  <c r="S30" i="27"/>
  <c r="AH30" i="27"/>
  <c r="Z30" i="27"/>
  <c r="V30" i="27"/>
  <c r="Y30" i="27"/>
  <c r="Q30" i="27"/>
  <c r="P30" i="27"/>
  <c r="AL30" i="27"/>
  <c r="R30" i="27"/>
  <c r="W30" i="27"/>
  <c r="U30" i="27"/>
  <c r="AF30" i="27"/>
  <c r="AG30" i="27" s="1"/>
  <c r="AA30" i="27"/>
  <c r="F14" i="26"/>
  <c r="H30" i="27"/>
  <c r="J21" i="27" s="1"/>
  <c r="I29" i="24"/>
  <c r="M27" i="25"/>
  <c r="N27" i="25"/>
  <c r="M29" i="26"/>
  <c r="N29" i="26"/>
  <c r="E14" i="23"/>
  <c r="G14" i="23"/>
  <c r="G30" i="23" s="1"/>
  <c r="F30" i="23"/>
  <c r="J25" i="26"/>
  <c r="K25" i="26"/>
  <c r="S25" i="26" s="1"/>
  <c r="F14" i="18"/>
  <c r="F30" i="18" s="1"/>
  <c r="E29" i="18"/>
  <c r="L29" i="18" s="1"/>
  <c r="T25" i="26"/>
  <c r="V25" i="26" s="1"/>
  <c r="X25" i="26"/>
  <c r="Y25" i="26" s="1"/>
  <c r="I13" i="18"/>
  <c r="X13" i="18"/>
  <c r="J13" i="18"/>
  <c r="G29" i="18"/>
  <c r="N29" i="18" s="1"/>
  <c r="H13" i="18"/>
  <c r="I29" i="10"/>
  <c r="W13" i="18"/>
  <c r="H29" i="18" s="1"/>
  <c r="V13" i="18"/>
  <c r="W29" i="22"/>
  <c r="O29" i="22"/>
  <c r="P29" i="22" s="1"/>
  <c r="Q29" i="22" s="1"/>
  <c r="G14" i="22"/>
  <c r="G30" i="22" s="1"/>
  <c r="F30" i="22"/>
  <c r="E14" i="22"/>
  <c r="T28" i="22"/>
  <c r="V28" i="22" s="1"/>
  <c r="AF28" i="22" s="1"/>
  <c r="AG28" i="22" s="1"/>
  <c r="X28" i="22"/>
  <c r="Y28" i="22" s="1"/>
  <c r="AB28" i="15"/>
  <c r="AC28" i="15" s="1"/>
  <c r="W13" i="10"/>
  <c r="H29" i="10" s="1"/>
  <c r="L27" i="2"/>
  <c r="M27" i="2" s="1"/>
  <c r="N27" i="2" s="1"/>
  <c r="AL27" i="16"/>
  <c r="J28" i="16"/>
  <c r="K28" i="16"/>
  <c r="S28" i="16" s="1"/>
  <c r="L29" i="16"/>
  <c r="D30" i="16"/>
  <c r="F14" i="16"/>
  <c r="M29" i="16"/>
  <c r="N29" i="16"/>
  <c r="W13" i="16"/>
  <c r="H29" i="16" s="1"/>
  <c r="V13" i="16"/>
  <c r="I29" i="16" s="1"/>
  <c r="F11" i="13"/>
  <c r="G11" i="13" s="1"/>
  <c r="N30" i="12"/>
  <c r="J14" i="12"/>
  <c r="X14" i="12"/>
  <c r="H26" i="13"/>
  <c r="V14" i="12"/>
  <c r="Y14" i="12"/>
  <c r="W14" i="12"/>
  <c r="L26" i="13"/>
  <c r="K26" i="13"/>
  <c r="J26" i="13"/>
  <c r="I26" i="13"/>
  <c r="N26" i="13"/>
  <c r="M26" i="13"/>
  <c r="I14" i="12"/>
  <c r="E30" i="12"/>
  <c r="L30" i="12" s="1"/>
  <c r="W13" i="15"/>
  <c r="H29" i="15" s="1"/>
  <c r="V13" i="15"/>
  <c r="I29" i="15" s="1"/>
  <c r="K28" i="15"/>
  <c r="J28" i="15"/>
  <c r="X28" i="15" s="1"/>
  <c r="L29" i="15"/>
  <c r="N29" i="15"/>
  <c r="M29" i="15"/>
  <c r="D30" i="15"/>
  <c r="F14" i="15"/>
  <c r="T29" i="19"/>
  <c r="V29" i="19" s="1"/>
  <c r="X29" i="19"/>
  <c r="Y29" i="19" s="1"/>
  <c r="X29" i="11"/>
  <c r="Y29" i="11" s="1"/>
  <c r="AD29" i="11" s="1"/>
  <c r="AE29" i="11" s="1"/>
  <c r="T28" i="17"/>
  <c r="V28" i="17" s="1"/>
  <c r="X28" i="17"/>
  <c r="Y28" i="17" s="1"/>
  <c r="W29" i="17"/>
  <c r="O29" i="17"/>
  <c r="P29" i="17" s="1"/>
  <c r="Q29" i="17" s="1"/>
  <c r="G14" i="17"/>
  <c r="G30" i="17" s="1"/>
  <c r="E14" i="17"/>
  <c r="F30" i="17"/>
  <c r="F28" i="2"/>
  <c r="N30" i="14"/>
  <c r="J14" i="10"/>
  <c r="V14" i="10"/>
  <c r="Y14" i="10"/>
  <c r="E30" i="10"/>
  <c r="J30" i="10" s="1"/>
  <c r="H14" i="10"/>
  <c r="Y30" i="7"/>
  <c r="AB30" i="7"/>
  <c r="U30" i="7"/>
  <c r="AA30" i="7"/>
  <c r="AH30" i="7"/>
  <c r="W30" i="7"/>
  <c r="R30" i="7"/>
  <c r="S30" i="7"/>
  <c r="AI30" i="7"/>
  <c r="P30" i="7"/>
  <c r="AF30" i="7"/>
  <c r="AG30" i="7" s="1"/>
  <c r="AL30" i="7"/>
  <c r="Q30" i="7"/>
  <c r="AE30" i="7"/>
  <c r="AD30" i="7"/>
  <c r="X30" i="7"/>
  <c r="O30" i="7"/>
  <c r="V30" i="7"/>
  <c r="T30" i="7"/>
  <c r="Z30" i="7"/>
  <c r="AC30" i="7"/>
  <c r="F30" i="10"/>
  <c r="G14" i="10"/>
  <c r="G30" i="10" s="1"/>
  <c r="L30" i="7"/>
  <c r="K30" i="7"/>
  <c r="J30" i="7"/>
  <c r="W14" i="10"/>
  <c r="I30" i="7"/>
  <c r="K25" i="7" s="1"/>
  <c r="S25" i="7" s="1"/>
  <c r="X14" i="10"/>
  <c r="H30" i="7"/>
  <c r="J25" i="7" s="1"/>
  <c r="I14" i="10"/>
  <c r="M30" i="14"/>
  <c r="X30" i="14" s="1"/>
  <c r="W29" i="10"/>
  <c r="T28" i="10"/>
  <c r="V28" i="10" s="1"/>
  <c r="X28" i="10"/>
  <c r="Y28" i="10" s="1"/>
  <c r="H30" i="14"/>
  <c r="AJ26" i="2"/>
  <c r="U30" i="12"/>
  <c r="AF30" i="12"/>
  <c r="AG30" i="12" s="1"/>
  <c r="S30" i="12"/>
  <c r="AE30" i="12"/>
  <c r="Q30" i="12"/>
  <c r="AC30" i="12"/>
  <c r="O30" i="12"/>
  <c r="Y30" i="12"/>
  <c r="X30" i="12"/>
  <c r="W30" i="12"/>
  <c r="Z30" i="12"/>
  <c r="V30" i="12"/>
  <c r="T30" i="12"/>
  <c r="R30" i="12"/>
  <c r="P30" i="12"/>
  <c r="AD30" i="12"/>
  <c r="AA30" i="12"/>
  <c r="AL30" i="12"/>
  <c r="AH30" i="12"/>
  <c r="AB30" i="12"/>
  <c r="AI30" i="12"/>
  <c r="AF29" i="11"/>
  <c r="AG29" i="11" s="1"/>
  <c r="L30" i="14"/>
  <c r="K30" i="14"/>
  <c r="J30" i="14"/>
  <c r="I30" i="14"/>
  <c r="T25" i="14"/>
  <c r="V25" i="14" s="1"/>
  <c r="X25" i="14"/>
  <c r="Y25" i="14" s="1"/>
  <c r="Q27" i="2"/>
  <c r="R27" i="2"/>
  <c r="U27" i="2"/>
  <c r="V27" i="2" s="1"/>
  <c r="W27" i="2" s="1"/>
  <c r="D13" i="2"/>
  <c r="D29" i="2" s="1"/>
  <c r="G28" i="2"/>
  <c r="H12" i="2"/>
  <c r="U12" i="2" s="1"/>
  <c r="I28" i="2" s="1"/>
  <c r="AI21" i="28"/>
  <c r="AH21" i="28"/>
  <c r="AH25" i="25"/>
  <c r="AI29" i="11"/>
  <c r="AH28" i="21"/>
  <c r="AI25" i="25"/>
  <c r="AH29" i="11"/>
  <c r="AI28" i="22"/>
  <c r="Z29" i="21" l="1"/>
  <c r="AA29" i="21" s="1"/>
  <c r="AL21" i="28"/>
  <c r="AF22" i="28"/>
  <c r="AG22" i="28" s="1"/>
  <c r="AD22" i="28"/>
  <c r="AE22" i="28" s="1"/>
  <c r="G14" i="24"/>
  <c r="G30" i="24" s="1"/>
  <c r="I29" i="18"/>
  <c r="F30" i="24"/>
  <c r="G14" i="18"/>
  <c r="G30" i="18" s="1"/>
  <c r="I30" i="21"/>
  <c r="K29" i="21" s="1"/>
  <c r="S29" i="21" s="1"/>
  <c r="Q29" i="23"/>
  <c r="Z29" i="23" s="1"/>
  <c r="AA29" i="23" s="1"/>
  <c r="H30" i="21"/>
  <c r="J29" i="21" s="1"/>
  <c r="J29" i="18"/>
  <c r="V26" i="25"/>
  <c r="AF26" i="25" s="1"/>
  <c r="AG26" i="25" s="1"/>
  <c r="E14" i="18"/>
  <c r="W14" i="18" s="1"/>
  <c r="AL28" i="21"/>
  <c r="AL25" i="25"/>
  <c r="E12" i="25"/>
  <c r="F28" i="25"/>
  <c r="G12" i="25"/>
  <c r="H14" i="23"/>
  <c r="I14" i="23"/>
  <c r="E30" i="23"/>
  <c r="Y14" i="23"/>
  <c r="X14" i="23"/>
  <c r="W14" i="23"/>
  <c r="V14" i="23"/>
  <c r="J14" i="23"/>
  <c r="AF28" i="23"/>
  <c r="AG28" i="23" s="1"/>
  <c r="AD28" i="23"/>
  <c r="AE28" i="23" s="1"/>
  <c r="N30" i="23"/>
  <c r="M30" i="23"/>
  <c r="X30" i="21"/>
  <c r="AB30" i="21"/>
  <c r="V30" i="21"/>
  <c r="Z30" i="21"/>
  <c r="AH30" i="21"/>
  <c r="AA30" i="21"/>
  <c r="U30" i="21"/>
  <c r="Y30" i="21"/>
  <c r="AF30" i="21"/>
  <c r="AG30" i="21" s="1"/>
  <c r="R30" i="21"/>
  <c r="W30" i="21"/>
  <c r="Q30" i="21"/>
  <c r="T30" i="21"/>
  <c r="S30" i="21"/>
  <c r="AE30" i="21"/>
  <c r="AI30" i="21"/>
  <c r="O30" i="21"/>
  <c r="AL30" i="21"/>
  <c r="P30" i="21"/>
  <c r="AD30" i="21"/>
  <c r="AC30" i="21"/>
  <c r="AC29" i="26"/>
  <c r="AI29" i="26"/>
  <c r="Q29" i="26"/>
  <c r="O29" i="26"/>
  <c r="AB29" i="26"/>
  <c r="AA29" i="26"/>
  <c r="U29" i="26"/>
  <c r="P29" i="26"/>
  <c r="T29" i="26"/>
  <c r="Y29" i="26"/>
  <c r="AF29" i="26"/>
  <c r="AG29" i="26" s="1"/>
  <c r="AE29" i="26"/>
  <c r="W29" i="26"/>
  <c r="Z29" i="26"/>
  <c r="S29" i="26"/>
  <c r="AH29" i="26"/>
  <c r="R29" i="26"/>
  <c r="AD29" i="26"/>
  <c r="V29" i="26"/>
  <c r="AL29" i="26"/>
  <c r="X29" i="26"/>
  <c r="W27" i="25"/>
  <c r="O27" i="25"/>
  <c r="P27" i="25" s="1"/>
  <c r="Q27" i="25" s="1"/>
  <c r="J14" i="24"/>
  <c r="X14" i="24"/>
  <c r="W14" i="24"/>
  <c r="Y14" i="24"/>
  <c r="H14" i="24"/>
  <c r="E30" i="24"/>
  <c r="V14" i="24"/>
  <c r="I14" i="24"/>
  <c r="T21" i="27"/>
  <c r="V21" i="27" s="1"/>
  <c r="AF21" i="27" s="1"/>
  <c r="AG21" i="27" s="1"/>
  <c r="X21" i="27"/>
  <c r="Y21" i="27" s="1"/>
  <c r="X28" i="24"/>
  <c r="Y28" i="24" s="1"/>
  <c r="T28" i="24"/>
  <c r="V28" i="24" s="1"/>
  <c r="AF28" i="24" s="1"/>
  <c r="AG28" i="24" s="1"/>
  <c r="O29" i="24"/>
  <c r="P29" i="24" s="1"/>
  <c r="R29" i="24" s="1"/>
  <c r="U29" i="24" s="1"/>
  <c r="W29" i="24"/>
  <c r="X26" i="25"/>
  <c r="Y26" i="25" s="1"/>
  <c r="K30" i="21"/>
  <c r="L30" i="21"/>
  <c r="J30" i="21"/>
  <c r="F30" i="26"/>
  <c r="G14" i="26"/>
  <c r="G30" i="26" s="1"/>
  <c r="E14" i="26"/>
  <c r="M29" i="18"/>
  <c r="AC29" i="18" s="1"/>
  <c r="K29" i="18"/>
  <c r="AD25" i="26"/>
  <c r="AE25" i="26" s="1"/>
  <c r="AF25" i="26"/>
  <c r="AG25" i="26" s="1"/>
  <c r="I30" i="12"/>
  <c r="K21" i="12" s="1"/>
  <c r="S21" i="12" s="1"/>
  <c r="S29" i="18"/>
  <c r="AD28" i="22"/>
  <c r="AE28" i="22" s="1"/>
  <c r="AB29" i="22"/>
  <c r="AC29" i="22" s="1"/>
  <c r="Z29" i="22"/>
  <c r="AA29" i="22" s="1"/>
  <c r="R29" i="22"/>
  <c r="U29" i="22" s="1"/>
  <c r="N30" i="22"/>
  <c r="M30" i="22"/>
  <c r="V14" i="22"/>
  <c r="J14" i="22"/>
  <c r="X14" i="22"/>
  <c r="W14" i="22"/>
  <c r="I14" i="22"/>
  <c r="Y14" i="22"/>
  <c r="E30" i="22"/>
  <c r="H14" i="22"/>
  <c r="E11" i="13"/>
  <c r="J11" i="13" s="1"/>
  <c r="O29" i="16"/>
  <c r="P29" i="16" s="1"/>
  <c r="W29" i="16"/>
  <c r="G14" i="16"/>
  <c r="G30" i="16" s="1"/>
  <c r="E14" i="16"/>
  <c r="F30" i="16"/>
  <c r="F27" i="13"/>
  <c r="H30" i="12"/>
  <c r="J21" i="12" s="1"/>
  <c r="X21" i="12" s="1"/>
  <c r="Y21" i="12" s="1"/>
  <c r="T28" i="16"/>
  <c r="V28" i="16" s="1"/>
  <c r="X28" i="16"/>
  <c r="Y28" i="16" s="1"/>
  <c r="H30" i="10"/>
  <c r="J29" i="10" s="1"/>
  <c r="X26" i="13"/>
  <c r="AC26" i="13"/>
  <c r="T26" i="13"/>
  <c r="AH26" i="13"/>
  <c r="AI26" i="13"/>
  <c r="AD26" i="13"/>
  <c r="O26" i="13"/>
  <c r="V26" i="13"/>
  <c r="S26" i="13"/>
  <c r="Z26" i="13"/>
  <c r="Q26" i="13"/>
  <c r="AE26" i="13"/>
  <c r="R26" i="13"/>
  <c r="Y26" i="13"/>
  <c r="W26" i="13"/>
  <c r="AL26" i="13"/>
  <c r="AA26" i="13"/>
  <c r="U26" i="13"/>
  <c r="AB26" i="13"/>
  <c r="AF26" i="13"/>
  <c r="AG26" i="13" s="1"/>
  <c r="P26" i="13"/>
  <c r="K30" i="12"/>
  <c r="J30" i="12"/>
  <c r="D12" i="13"/>
  <c r="D28" i="13" s="1"/>
  <c r="G27" i="13"/>
  <c r="P30" i="14"/>
  <c r="E14" i="15"/>
  <c r="F30" i="15"/>
  <c r="G14" i="15"/>
  <c r="G30" i="15" s="1"/>
  <c r="W29" i="15"/>
  <c r="O29" i="15"/>
  <c r="P29" i="15" s="1"/>
  <c r="AD29" i="19"/>
  <c r="AE29" i="19" s="1"/>
  <c r="AF29" i="19"/>
  <c r="AG29" i="19" s="1"/>
  <c r="AC30" i="14"/>
  <c r="I30" i="10"/>
  <c r="K29" i="10" s="1"/>
  <c r="S29" i="10" s="1"/>
  <c r="Y14" i="18"/>
  <c r="X14" i="18"/>
  <c r="I14" i="18"/>
  <c r="N30" i="18"/>
  <c r="M30" i="18"/>
  <c r="AD28" i="17"/>
  <c r="AE28" i="17" s="1"/>
  <c r="Z29" i="17"/>
  <c r="AA29" i="17" s="1"/>
  <c r="AB29" i="17"/>
  <c r="AC29" i="17" s="1"/>
  <c r="R29" i="17"/>
  <c r="U29" i="17" s="1"/>
  <c r="N30" i="17"/>
  <c r="M30" i="17"/>
  <c r="AF28" i="17"/>
  <c r="AG28" i="17" s="1"/>
  <c r="I14" i="17"/>
  <c r="H14" i="17"/>
  <c r="J14" i="17"/>
  <c r="E30" i="17"/>
  <c r="Y14" i="17"/>
  <c r="X14" i="17"/>
  <c r="W14" i="17"/>
  <c r="V14" i="17"/>
  <c r="K30" i="10"/>
  <c r="L30" i="10"/>
  <c r="Q30" i="14"/>
  <c r="Z30" i="14"/>
  <c r="AF30" i="14"/>
  <c r="AG30" i="14" s="1"/>
  <c r="AA30" i="14"/>
  <c r="AH30" i="14"/>
  <c r="O30" i="14"/>
  <c r="V30" i="14"/>
  <c r="AI30" i="14"/>
  <c r="AD30" i="14"/>
  <c r="AL30" i="14"/>
  <c r="AE30" i="14"/>
  <c r="Y30" i="14"/>
  <c r="S30" i="14"/>
  <c r="U30" i="14"/>
  <c r="AB30" i="14"/>
  <c r="R30" i="14"/>
  <c r="W30" i="14"/>
  <c r="T30" i="14"/>
  <c r="AD28" i="10"/>
  <c r="AE28" i="10" s="1"/>
  <c r="M30" i="10"/>
  <c r="N30" i="10"/>
  <c r="X25" i="7"/>
  <c r="Y25" i="7" s="1"/>
  <c r="T25" i="7"/>
  <c r="V25" i="7" s="1"/>
  <c r="AF28" i="10"/>
  <c r="AG28" i="10" s="1"/>
  <c r="R29" i="10"/>
  <c r="U29" i="10" s="1"/>
  <c r="Q29" i="10"/>
  <c r="K25" i="14"/>
  <c r="S25" i="14" s="1"/>
  <c r="K24" i="14"/>
  <c r="S24" i="14" s="1"/>
  <c r="J25" i="14"/>
  <c r="J24" i="14"/>
  <c r="AL29" i="11"/>
  <c r="O27" i="2"/>
  <c r="P27" i="2"/>
  <c r="S27" i="2" s="1"/>
  <c r="T27" i="2" s="1"/>
  <c r="F13" i="2"/>
  <c r="L28" i="2"/>
  <c r="K28" i="2"/>
  <c r="AF25" i="14"/>
  <c r="AG25" i="14" s="1"/>
  <c r="AD25" i="14"/>
  <c r="AE25" i="14" s="1"/>
  <c r="AI25" i="14"/>
  <c r="AH25" i="14"/>
  <c r="AH28" i="17"/>
  <c r="AI28" i="17"/>
  <c r="AH25" i="26"/>
  <c r="AI25" i="26"/>
  <c r="AH28" i="22"/>
  <c r="AI26" i="25"/>
  <c r="AH22" i="28"/>
  <c r="AI21" i="27"/>
  <c r="AI28" i="24"/>
  <c r="AH28" i="10"/>
  <c r="AI28" i="23"/>
  <c r="AI22" i="28"/>
  <c r="AI29" i="19"/>
  <c r="AH29" i="19"/>
  <c r="AH28" i="23"/>
  <c r="AI28" i="10"/>
  <c r="R27" i="25" l="1"/>
  <c r="U27" i="25" s="1"/>
  <c r="M30" i="24"/>
  <c r="AB29" i="23"/>
  <c r="AC29" i="23" s="1"/>
  <c r="H14" i="18"/>
  <c r="Y29" i="18"/>
  <c r="AL29" i="18"/>
  <c r="E30" i="18"/>
  <c r="J14" i="18"/>
  <c r="V14" i="18"/>
  <c r="AL22" i="28"/>
  <c r="H30" i="23"/>
  <c r="J29" i="23" s="1"/>
  <c r="T29" i="23" s="1"/>
  <c r="V29" i="23" s="1"/>
  <c r="AB29" i="18"/>
  <c r="AD28" i="24"/>
  <c r="AE28" i="24" s="1"/>
  <c r="Q29" i="18"/>
  <c r="N30" i="24"/>
  <c r="AD26" i="25"/>
  <c r="AE26" i="25" s="1"/>
  <c r="AD21" i="27"/>
  <c r="AE21" i="27" s="1"/>
  <c r="AB27" i="25"/>
  <c r="AC27" i="25" s="1"/>
  <c r="Z27" i="25"/>
  <c r="AA27" i="25" s="1"/>
  <c r="W29" i="18"/>
  <c r="AD29" i="18"/>
  <c r="Z29" i="18"/>
  <c r="AF29" i="18"/>
  <c r="AG29" i="18" s="1"/>
  <c r="H30" i="24"/>
  <c r="J29" i="24" s="1"/>
  <c r="O29" i="18"/>
  <c r="X29" i="18"/>
  <c r="P29" i="18"/>
  <c r="I30" i="24"/>
  <c r="K29" i="24" s="1"/>
  <c r="S29" i="24" s="1"/>
  <c r="V29" i="18"/>
  <c r="R29" i="18"/>
  <c r="AH29" i="18"/>
  <c r="Q29" i="24"/>
  <c r="AL28" i="23"/>
  <c r="AA29" i="18"/>
  <c r="AE29" i="18"/>
  <c r="K30" i="23"/>
  <c r="J30" i="23"/>
  <c r="L30" i="23"/>
  <c r="L30" i="24"/>
  <c r="K30" i="24"/>
  <c r="J30" i="24"/>
  <c r="AI29" i="18"/>
  <c r="U29" i="18"/>
  <c r="G28" i="25"/>
  <c r="D13" i="25"/>
  <c r="D29" i="25" s="1"/>
  <c r="R30" i="23"/>
  <c r="S30" i="23"/>
  <c r="AD30" i="23"/>
  <c r="AE30" i="23"/>
  <c r="Y30" i="23"/>
  <c r="AA30" i="23"/>
  <c r="AI30" i="23"/>
  <c r="Q30" i="23"/>
  <c r="X30" i="23"/>
  <c r="P30" i="23"/>
  <c r="AB30" i="23"/>
  <c r="T30" i="23"/>
  <c r="V30" i="23"/>
  <c r="U30" i="23"/>
  <c r="AL30" i="23"/>
  <c r="W30" i="23"/>
  <c r="AH30" i="23"/>
  <c r="AC30" i="23"/>
  <c r="O30" i="23"/>
  <c r="AF30" i="23"/>
  <c r="AG30" i="23" s="1"/>
  <c r="Z30" i="23"/>
  <c r="X12" i="25"/>
  <c r="J12" i="25"/>
  <c r="H12" i="25"/>
  <c r="W12" i="25" s="1"/>
  <c r="I12" i="25"/>
  <c r="E28" i="25"/>
  <c r="Y12" i="25"/>
  <c r="AH30" i="24"/>
  <c r="AA30" i="24"/>
  <c r="V30" i="24"/>
  <c r="Q30" i="24"/>
  <c r="AL30" i="24"/>
  <c r="P30" i="24"/>
  <c r="T30" i="24"/>
  <c r="O30" i="24"/>
  <c r="S30" i="24"/>
  <c r="Y30" i="24"/>
  <c r="AF30" i="24"/>
  <c r="AG30" i="24" s="1"/>
  <c r="X30" i="24"/>
  <c r="R30" i="24"/>
  <c r="U30" i="24"/>
  <c r="Z30" i="24"/>
  <c r="AI30" i="24"/>
  <c r="AE30" i="24"/>
  <c r="AB30" i="24"/>
  <c r="AD30" i="24"/>
  <c r="AC30" i="24"/>
  <c r="W30" i="24"/>
  <c r="W14" i="26"/>
  <c r="X14" i="26"/>
  <c r="Y14" i="26"/>
  <c r="V14" i="26"/>
  <c r="H14" i="26"/>
  <c r="J14" i="26"/>
  <c r="E30" i="26"/>
  <c r="I14" i="26"/>
  <c r="T29" i="21"/>
  <c r="V29" i="21" s="1"/>
  <c r="X29" i="21"/>
  <c r="Y29" i="21" s="1"/>
  <c r="T29" i="18"/>
  <c r="N30" i="26"/>
  <c r="M30" i="26"/>
  <c r="I30" i="23"/>
  <c r="K29" i="23" s="1"/>
  <c r="S29" i="23" s="1"/>
  <c r="I11" i="13"/>
  <c r="Y11" i="13"/>
  <c r="V11" i="13"/>
  <c r="H11" i="13"/>
  <c r="AL25" i="26"/>
  <c r="E27" i="13"/>
  <c r="L27" i="13" s="1"/>
  <c r="AL28" i="22"/>
  <c r="H30" i="22"/>
  <c r="J29" i="22" s="1"/>
  <c r="F12" i="13"/>
  <c r="F28" i="13" s="1"/>
  <c r="AL30" i="22"/>
  <c r="X30" i="22"/>
  <c r="W30" i="22"/>
  <c r="AF30" i="22"/>
  <c r="AG30" i="22" s="1"/>
  <c r="T30" i="22"/>
  <c r="AE30" i="22"/>
  <c r="S30" i="22"/>
  <c r="AH30" i="22"/>
  <c r="P30" i="22"/>
  <c r="O30" i="22"/>
  <c r="AB30" i="22"/>
  <c r="AD30" i="22"/>
  <c r="Z30" i="22"/>
  <c r="AC30" i="22"/>
  <c r="AA30" i="22"/>
  <c r="Y30" i="22"/>
  <c r="V30" i="22"/>
  <c r="R30" i="22"/>
  <c r="U30" i="22"/>
  <c r="Q30" i="22"/>
  <c r="AI30" i="22"/>
  <c r="I30" i="22"/>
  <c r="K29" i="22" s="1"/>
  <c r="S29" i="22" s="1"/>
  <c r="L30" i="22"/>
  <c r="K30" i="22"/>
  <c r="J30" i="22"/>
  <c r="X11" i="13"/>
  <c r="W11" i="13"/>
  <c r="M30" i="16"/>
  <c r="T30" i="16" s="1"/>
  <c r="T21" i="12"/>
  <c r="V21" i="12" s="1"/>
  <c r="AD21" i="12" s="1"/>
  <c r="AE21" i="12" s="1"/>
  <c r="T29" i="10"/>
  <c r="V29" i="10" s="1"/>
  <c r="X29" i="10"/>
  <c r="Y29" i="10" s="1"/>
  <c r="AF28" i="16"/>
  <c r="AG28" i="16" s="1"/>
  <c r="AD28" i="16"/>
  <c r="AE28" i="16" s="1"/>
  <c r="W14" i="16"/>
  <c r="I14" i="16"/>
  <c r="V14" i="16"/>
  <c r="Y14" i="16"/>
  <c r="X14" i="16"/>
  <c r="J14" i="16"/>
  <c r="H14" i="16"/>
  <c r="E30" i="16"/>
  <c r="N30" i="16"/>
  <c r="Q29" i="16"/>
  <c r="R29" i="16"/>
  <c r="U29" i="16" s="1"/>
  <c r="N27" i="13"/>
  <c r="M27" i="13"/>
  <c r="AL29" i="19"/>
  <c r="R29" i="15"/>
  <c r="U29" i="15" s="1"/>
  <c r="Q29" i="15"/>
  <c r="N30" i="15"/>
  <c r="M30" i="15"/>
  <c r="X14" i="15"/>
  <c r="V14" i="15"/>
  <c r="E30" i="15"/>
  <c r="W14" i="15"/>
  <c r="Y14" i="15"/>
  <c r="I14" i="15"/>
  <c r="H14" i="15"/>
  <c r="J14" i="15"/>
  <c r="H30" i="18"/>
  <c r="J25" i="18" s="1"/>
  <c r="AL30" i="18"/>
  <c r="X30" i="18"/>
  <c r="W30" i="18"/>
  <c r="AF30" i="18"/>
  <c r="AG30" i="18" s="1"/>
  <c r="T30" i="18"/>
  <c r="R30" i="18"/>
  <c r="AE30" i="18"/>
  <c r="S30" i="18"/>
  <c r="AD30" i="18"/>
  <c r="AB30" i="18"/>
  <c r="AA30" i="18"/>
  <c r="Z30" i="18"/>
  <c r="Y30" i="18"/>
  <c r="AH30" i="18"/>
  <c r="V30" i="18"/>
  <c r="U30" i="18"/>
  <c r="Q30" i="18"/>
  <c r="P30" i="18"/>
  <c r="O30" i="18"/>
  <c r="AC30" i="18"/>
  <c r="AI30" i="18"/>
  <c r="L30" i="18"/>
  <c r="K30" i="18"/>
  <c r="J30" i="18"/>
  <c r="I30" i="18"/>
  <c r="K25" i="18" s="1"/>
  <c r="S25" i="18" s="1"/>
  <c r="AL28" i="17"/>
  <c r="J30" i="17"/>
  <c r="L30" i="17"/>
  <c r="K30" i="17"/>
  <c r="AL30" i="17"/>
  <c r="AH30" i="17"/>
  <c r="V30" i="17"/>
  <c r="U30" i="17"/>
  <c r="AF30" i="17"/>
  <c r="AG30" i="17" s="1"/>
  <c r="T30" i="17"/>
  <c r="AE30" i="17"/>
  <c r="S30" i="17"/>
  <c r="O30" i="17"/>
  <c r="AD30" i="17"/>
  <c r="Y30" i="17"/>
  <c r="AC30" i="17"/>
  <c r="Z30" i="17"/>
  <c r="X30" i="17"/>
  <c r="AB30" i="17"/>
  <c r="AA30" i="17"/>
  <c r="W30" i="17"/>
  <c r="R30" i="17"/>
  <c r="Q30" i="17"/>
  <c r="P30" i="17"/>
  <c r="AI30" i="17"/>
  <c r="I30" i="17"/>
  <c r="K29" i="17" s="1"/>
  <c r="S29" i="17" s="1"/>
  <c r="H30" i="17"/>
  <c r="J29" i="17" s="1"/>
  <c r="AD25" i="7"/>
  <c r="AE25" i="7" s="1"/>
  <c r="AF25" i="7"/>
  <c r="AG25" i="7" s="1"/>
  <c r="AA30" i="10"/>
  <c r="AE30" i="10"/>
  <c r="Z30" i="10"/>
  <c r="Q30" i="10"/>
  <c r="Y30" i="10"/>
  <c r="AB30" i="10"/>
  <c r="V30" i="10"/>
  <c r="AH30" i="10"/>
  <c r="U30" i="10"/>
  <c r="W30" i="10"/>
  <c r="AI30" i="10"/>
  <c r="S30" i="10"/>
  <c r="AD30" i="10"/>
  <c r="T30" i="10"/>
  <c r="P30" i="10"/>
  <c r="AL30" i="10"/>
  <c r="AF30" i="10"/>
  <c r="AG30" i="10" s="1"/>
  <c r="AC30" i="10"/>
  <c r="O30" i="10"/>
  <c r="X30" i="10"/>
  <c r="R30" i="10"/>
  <c r="AL28" i="10"/>
  <c r="Z29" i="10"/>
  <c r="AA29" i="10" s="1"/>
  <c r="AB29" i="10"/>
  <c r="AC29" i="10" s="1"/>
  <c r="X24" i="14"/>
  <c r="Y24" i="14" s="1"/>
  <c r="T24" i="14"/>
  <c r="V24" i="14" s="1"/>
  <c r="AL25" i="14"/>
  <c r="Z27" i="2"/>
  <c r="AA27" i="2" s="1"/>
  <c r="X27" i="2"/>
  <c r="Y27" i="2" s="1"/>
  <c r="AB27" i="2" s="1"/>
  <c r="AC27" i="2" s="1"/>
  <c r="G13" i="2"/>
  <c r="F29" i="2"/>
  <c r="R28" i="2"/>
  <c r="U28" i="2"/>
  <c r="V28" i="2" s="1"/>
  <c r="W28" i="2" s="1"/>
  <c r="M28" i="2"/>
  <c r="N28" i="2" s="1"/>
  <c r="Q28" i="2"/>
  <c r="AI25" i="7"/>
  <c r="AH21" i="27"/>
  <c r="AH28" i="24"/>
  <c r="AI28" i="16"/>
  <c r="AH25" i="7"/>
  <c r="AH26" i="25"/>
  <c r="AF27" i="2"/>
  <c r="AH21" i="12"/>
  <c r="AH28" i="16"/>
  <c r="X29" i="23" l="1"/>
  <c r="Y29" i="23" s="1"/>
  <c r="AD29" i="23" s="1"/>
  <c r="AE29" i="23" s="1"/>
  <c r="AL28" i="24"/>
  <c r="AL21" i="27"/>
  <c r="AL26" i="25"/>
  <c r="H28" i="25"/>
  <c r="T29" i="24"/>
  <c r="V29" i="24" s="1"/>
  <c r="X29" i="24"/>
  <c r="Y29" i="24" s="1"/>
  <c r="Z29" i="24"/>
  <c r="AA29" i="24" s="1"/>
  <c r="AB29" i="24"/>
  <c r="AC29" i="24" s="1"/>
  <c r="F13" i="25"/>
  <c r="E13" i="25" s="1"/>
  <c r="L30" i="26"/>
  <c r="K30" i="26"/>
  <c r="J30" i="26"/>
  <c r="I30" i="26"/>
  <c r="V12" i="25"/>
  <c r="I28" i="25" s="1"/>
  <c r="M28" i="25"/>
  <c r="N28" i="25"/>
  <c r="AH30" i="26"/>
  <c r="AB30" i="26"/>
  <c r="V30" i="26"/>
  <c r="P30" i="26"/>
  <c r="Q30" i="26"/>
  <c r="Z30" i="26"/>
  <c r="T30" i="26"/>
  <c r="W30" i="26"/>
  <c r="U30" i="26"/>
  <c r="Y30" i="26"/>
  <c r="AF30" i="26"/>
  <c r="AG30" i="26" s="1"/>
  <c r="O30" i="26"/>
  <c r="AI30" i="26"/>
  <c r="R30" i="26"/>
  <c r="AA30" i="26"/>
  <c r="AC30" i="26"/>
  <c r="AE30" i="26"/>
  <c r="AD30" i="26"/>
  <c r="AL30" i="26"/>
  <c r="S30" i="26"/>
  <c r="X30" i="26"/>
  <c r="AF29" i="21"/>
  <c r="AG29" i="21" s="1"/>
  <c r="AD29" i="21"/>
  <c r="AE29" i="21" s="1"/>
  <c r="AF29" i="23"/>
  <c r="AG29" i="23" s="1"/>
  <c r="H30" i="26"/>
  <c r="J22" i="26" s="1"/>
  <c r="L28" i="25"/>
  <c r="K27" i="25"/>
  <c r="S27" i="25" s="1"/>
  <c r="J27" i="25"/>
  <c r="H27" i="13"/>
  <c r="I27" i="13"/>
  <c r="K27" i="13"/>
  <c r="J27" i="13"/>
  <c r="AA30" i="16"/>
  <c r="AD30" i="16"/>
  <c r="R30" i="16"/>
  <c r="AI30" i="16"/>
  <c r="AH30" i="16"/>
  <c r="AE30" i="16"/>
  <c r="AB30" i="16"/>
  <c r="AF21" i="12"/>
  <c r="AG21" i="12" s="1"/>
  <c r="AC30" i="16"/>
  <c r="S30" i="16"/>
  <c r="X30" i="16"/>
  <c r="Y30" i="16"/>
  <c r="E12" i="13"/>
  <c r="V12" i="13" s="1"/>
  <c r="G12" i="13"/>
  <c r="G28" i="13" s="1"/>
  <c r="O30" i="16"/>
  <c r="V30" i="16"/>
  <c r="W30" i="16"/>
  <c r="P30" i="16"/>
  <c r="AL30" i="16"/>
  <c r="Q30" i="16"/>
  <c r="U30" i="16"/>
  <c r="AF30" i="16"/>
  <c r="AG30" i="16" s="1"/>
  <c r="T29" i="22"/>
  <c r="V29" i="22" s="1"/>
  <c r="X29" i="22"/>
  <c r="Y29" i="22" s="1"/>
  <c r="Z30" i="16"/>
  <c r="I30" i="16"/>
  <c r="K29" i="16" s="1"/>
  <c r="S29" i="16" s="1"/>
  <c r="AL28" i="16"/>
  <c r="AB29" i="16"/>
  <c r="AC29" i="16" s="1"/>
  <c r="Z29" i="16"/>
  <c r="AA29" i="16" s="1"/>
  <c r="K30" i="16"/>
  <c r="L30" i="16"/>
  <c r="J30" i="16"/>
  <c r="H30" i="16"/>
  <c r="J29" i="16" s="1"/>
  <c r="AH27" i="13"/>
  <c r="AD27" i="13"/>
  <c r="T27" i="13"/>
  <c r="Z27" i="13"/>
  <c r="R27" i="13"/>
  <c r="X27" i="13"/>
  <c r="Q27" i="13"/>
  <c r="V27" i="13"/>
  <c r="U27" i="13"/>
  <c r="AE27" i="13"/>
  <c r="W27" i="13"/>
  <c r="AF27" i="13"/>
  <c r="AG27" i="13" s="1"/>
  <c r="O27" i="13"/>
  <c r="AC27" i="13"/>
  <c r="AI27" i="13"/>
  <c r="P27" i="13"/>
  <c r="AB27" i="13"/>
  <c r="Y27" i="13"/>
  <c r="AL27" i="13"/>
  <c r="AA27" i="13"/>
  <c r="S27" i="13"/>
  <c r="J30" i="15"/>
  <c r="L30" i="15"/>
  <c r="K30" i="15"/>
  <c r="H30" i="15"/>
  <c r="I30" i="15"/>
  <c r="X30" i="15"/>
  <c r="AD30" i="15"/>
  <c r="Q30" i="15"/>
  <c r="AL30" i="15"/>
  <c r="AC30" i="15"/>
  <c r="AA30" i="15"/>
  <c r="R30" i="15"/>
  <c r="V30" i="15"/>
  <c r="P30" i="15"/>
  <c r="AF30" i="15"/>
  <c r="AG30" i="15" s="1"/>
  <c r="U30" i="15"/>
  <c r="Z30" i="15"/>
  <c r="W30" i="15"/>
  <c r="AE30" i="15"/>
  <c r="AH30" i="15"/>
  <c r="O30" i="15"/>
  <c r="Y30" i="15"/>
  <c r="AI30" i="15"/>
  <c r="T30" i="15"/>
  <c r="AB30" i="15"/>
  <c r="S30" i="15"/>
  <c r="Z29" i="15"/>
  <c r="AA29" i="15" s="1"/>
  <c r="AB29" i="15"/>
  <c r="AC29" i="15" s="1"/>
  <c r="T25" i="18"/>
  <c r="V25" i="18" s="1"/>
  <c r="X25" i="18"/>
  <c r="Y25" i="18" s="1"/>
  <c r="X29" i="17"/>
  <c r="Y29" i="17" s="1"/>
  <c r="T29" i="17"/>
  <c r="V29" i="17" s="1"/>
  <c r="AD29" i="10"/>
  <c r="AE29" i="10" s="1"/>
  <c r="AL25" i="7"/>
  <c r="AF29" i="10"/>
  <c r="AG29" i="10" s="1"/>
  <c r="AD24" i="14"/>
  <c r="AE24" i="14" s="1"/>
  <c r="AF24" i="14"/>
  <c r="AG24" i="14" s="1"/>
  <c r="P28" i="2"/>
  <c r="S28" i="2" s="1"/>
  <c r="T28" i="2" s="1"/>
  <c r="O28" i="2"/>
  <c r="G29" i="2"/>
  <c r="D14" i="2"/>
  <c r="D30" i="2" s="1"/>
  <c r="H13" i="2"/>
  <c r="U13" i="2" s="1"/>
  <c r="I29" i="2" s="1"/>
  <c r="AD27" i="2"/>
  <c r="AE27" i="2" s="1"/>
  <c r="AH29" i="10"/>
  <c r="AH24" i="14"/>
  <c r="AI29" i="23"/>
  <c r="AI29" i="21"/>
  <c r="AI29" i="10"/>
  <c r="AH29" i="23"/>
  <c r="AG27" i="2"/>
  <c r="AH29" i="21"/>
  <c r="AI24" i="14"/>
  <c r="AI21" i="12"/>
  <c r="F29" i="25" l="1"/>
  <c r="S23" i="26"/>
  <c r="K22" i="26"/>
  <c r="S22" i="26" s="1"/>
  <c r="X22" i="26"/>
  <c r="Y22" i="26" s="1"/>
  <c r="T22" i="26"/>
  <c r="V22" i="26" s="1"/>
  <c r="G13" i="25"/>
  <c r="D14" i="25" s="1"/>
  <c r="D30" i="25" s="1"/>
  <c r="AD29" i="24"/>
  <c r="AE29" i="24" s="1"/>
  <c r="AF29" i="24"/>
  <c r="AG29" i="24" s="1"/>
  <c r="AL29" i="23"/>
  <c r="AL29" i="21"/>
  <c r="Y13" i="25"/>
  <c r="X13" i="25"/>
  <c r="J13" i="25"/>
  <c r="I13" i="25"/>
  <c r="E29" i="25"/>
  <c r="T27" i="25"/>
  <c r="V27" i="25" s="1"/>
  <c r="AF27" i="25" s="1"/>
  <c r="AG27" i="25" s="1"/>
  <c r="X27" i="25"/>
  <c r="Y27" i="25" s="1"/>
  <c r="W28" i="25"/>
  <c r="O28" i="25"/>
  <c r="P28" i="25" s="1"/>
  <c r="R28" i="25" s="1"/>
  <c r="U28" i="25" s="1"/>
  <c r="Q28" i="25"/>
  <c r="Z28" i="25" s="1"/>
  <c r="AA28" i="25" s="1"/>
  <c r="X23" i="26"/>
  <c r="Y23" i="26" s="1"/>
  <c r="T23" i="26"/>
  <c r="V23" i="26" s="1"/>
  <c r="J12" i="13"/>
  <c r="AL21" i="12"/>
  <c r="D13" i="13"/>
  <c r="F13" i="13" s="1"/>
  <c r="I12" i="13"/>
  <c r="Y12" i="13"/>
  <c r="H12" i="13"/>
  <c r="E28" i="13"/>
  <c r="J28" i="13" s="1"/>
  <c r="W12" i="13"/>
  <c r="X12" i="13"/>
  <c r="I28" i="13" s="1"/>
  <c r="AF29" i="22"/>
  <c r="AG29" i="22" s="1"/>
  <c r="AD29" i="22"/>
  <c r="AE29" i="22" s="1"/>
  <c r="T29" i="16"/>
  <c r="V29" i="16" s="1"/>
  <c r="AF29" i="16" s="1"/>
  <c r="AG29" i="16" s="1"/>
  <c r="X29" i="16"/>
  <c r="Y29" i="16" s="1"/>
  <c r="M28" i="13"/>
  <c r="N28" i="13"/>
  <c r="K24" i="15"/>
  <c r="S24" i="15" s="1"/>
  <c r="S25" i="15" s="1"/>
  <c r="S26" i="15" s="1"/>
  <c r="S27" i="15" s="1"/>
  <c r="S28" i="15" s="1"/>
  <c r="K29" i="15"/>
  <c r="J24" i="15"/>
  <c r="J29" i="15"/>
  <c r="X29" i="15" s="1"/>
  <c r="AD25" i="18"/>
  <c r="AE25" i="18" s="1"/>
  <c r="AF25" i="18"/>
  <c r="AG25" i="18" s="1"/>
  <c r="AF29" i="17"/>
  <c r="AG29" i="17" s="1"/>
  <c r="AD29" i="17"/>
  <c r="AE29" i="17" s="1"/>
  <c r="AL29" i="10"/>
  <c r="AL24" i="14"/>
  <c r="AJ27" i="2"/>
  <c r="F14" i="2"/>
  <c r="L29" i="2"/>
  <c r="K29" i="2"/>
  <c r="X28" i="2"/>
  <c r="Y28" i="2" s="1"/>
  <c r="AB28" i="2" s="1"/>
  <c r="AC28" i="2" s="1"/>
  <c r="Z28" i="2"/>
  <c r="AA28" i="2" s="1"/>
  <c r="AI29" i="17"/>
  <c r="AH29" i="17"/>
  <c r="AH29" i="22"/>
  <c r="AI29" i="16"/>
  <c r="AH29" i="24"/>
  <c r="AI29" i="24"/>
  <c r="AI25" i="18"/>
  <c r="AI27" i="25"/>
  <c r="AF28" i="2"/>
  <c r="AH25" i="18"/>
  <c r="AI29" i="22"/>
  <c r="H13" i="25" l="1"/>
  <c r="V13" i="25" s="1"/>
  <c r="I29" i="25" s="1"/>
  <c r="AF22" i="26"/>
  <c r="AG22" i="26" s="1"/>
  <c r="AD22" i="26"/>
  <c r="AE22" i="26" s="1"/>
  <c r="AB28" i="25"/>
  <c r="AC28" i="25" s="1"/>
  <c r="G29" i="25"/>
  <c r="M29" i="25" s="1"/>
  <c r="AD27" i="25"/>
  <c r="AE27" i="25" s="1"/>
  <c r="AL29" i="24"/>
  <c r="W13" i="25"/>
  <c r="H29" i="25" s="1"/>
  <c r="L29" i="25"/>
  <c r="K28" i="25"/>
  <c r="S28" i="25" s="1"/>
  <c r="J28" i="25"/>
  <c r="AF23" i="26"/>
  <c r="AG23" i="26" s="1"/>
  <c r="AD23" i="26"/>
  <c r="AE23" i="26" s="1"/>
  <c r="F14" i="25"/>
  <c r="D29" i="13"/>
  <c r="AD29" i="16"/>
  <c r="AE29" i="16" s="1"/>
  <c r="H28" i="13"/>
  <c r="L28" i="13"/>
  <c r="K28" i="13"/>
  <c r="AL29" i="22"/>
  <c r="E13" i="13"/>
  <c r="G13" i="13"/>
  <c r="F29" i="13"/>
  <c r="AH28" i="13"/>
  <c r="W28" i="13"/>
  <c r="Q28" i="13"/>
  <c r="AF28" i="13"/>
  <c r="AG28" i="13" s="1"/>
  <c r="P28" i="13"/>
  <c r="O28" i="13"/>
  <c r="U28" i="13"/>
  <c r="AB28" i="13"/>
  <c r="X28" i="13"/>
  <c r="AE28" i="13"/>
  <c r="Y28" i="13"/>
  <c r="AD28" i="13"/>
  <c r="S28" i="13"/>
  <c r="AL28" i="13"/>
  <c r="AC28" i="13"/>
  <c r="V28" i="13"/>
  <c r="T28" i="13"/>
  <c r="R28" i="13"/>
  <c r="AA28" i="13"/>
  <c r="AI28" i="13"/>
  <c r="Z28" i="13"/>
  <c r="X24" i="15"/>
  <c r="Y24" i="15" s="1"/>
  <c r="Y25" i="15" s="1"/>
  <c r="Y26" i="15" s="1"/>
  <c r="Y27" i="15" s="1"/>
  <c r="Y28" i="15" s="1"/>
  <c r="Y29" i="15" s="1"/>
  <c r="T24" i="15"/>
  <c r="S29" i="15"/>
  <c r="AD28" i="2"/>
  <c r="AE28" i="2" s="1"/>
  <c r="AL25" i="18"/>
  <c r="AL29" i="17"/>
  <c r="M29" i="2"/>
  <c r="N29" i="2" s="1"/>
  <c r="U29" i="2"/>
  <c r="V29" i="2" s="1"/>
  <c r="W29" i="2" s="1"/>
  <c r="R29" i="2"/>
  <c r="Q29" i="2"/>
  <c r="G14" i="2"/>
  <c r="F30" i="2"/>
  <c r="AH23" i="26"/>
  <c r="AI23" i="26"/>
  <c r="AI22" i="26"/>
  <c r="AH22" i="26"/>
  <c r="AH29" i="16"/>
  <c r="AG28" i="2"/>
  <c r="AH27" i="25"/>
  <c r="N29" i="25" l="1"/>
  <c r="AL22" i="26"/>
  <c r="AL27" i="25"/>
  <c r="AL23" i="26"/>
  <c r="O29" i="25"/>
  <c r="P29" i="25" s="1"/>
  <c r="Q29" i="25" s="1"/>
  <c r="W29" i="25"/>
  <c r="T28" i="25"/>
  <c r="V28" i="25" s="1"/>
  <c r="X28" i="25"/>
  <c r="Y28" i="25" s="1"/>
  <c r="F30" i="25"/>
  <c r="E14" i="25"/>
  <c r="G14" i="25"/>
  <c r="G30" i="25" s="1"/>
  <c r="AL29" i="16"/>
  <c r="G29" i="13"/>
  <c r="D14" i="13"/>
  <c r="D30" i="13" s="1"/>
  <c r="H13" i="13"/>
  <c r="V13" i="13"/>
  <c r="Y13" i="13"/>
  <c r="W13" i="13"/>
  <c r="J13" i="13"/>
  <c r="I13" i="13"/>
  <c r="X13" i="13"/>
  <c r="E29" i="13"/>
  <c r="T25" i="15"/>
  <c r="V24" i="15"/>
  <c r="AJ28" i="2"/>
  <c r="P29" i="2"/>
  <c r="S29" i="2" s="1"/>
  <c r="T29" i="2" s="1"/>
  <c r="O29" i="2"/>
  <c r="G30" i="2"/>
  <c r="H14" i="2"/>
  <c r="U14" i="2" s="1"/>
  <c r="I30" i="2" s="1"/>
  <c r="Z29" i="25" l="1"/>
  <c r="AA29" i="25" s="1"/>
  <c r="AB29" i="25"/>
  <c r="AC29" i="25" s="1"/>
  <c r="N30" i="25"/>
  <c r="M30" i="25"/>
  <c r="H14" i="25"/>
  <c r="V14" i="25" s="1"/>
  <c r="E30" i="25"/>
  <c r="Y14" i="25"/>
  <c r="X14" i="25"/>
  <c r="J14" i="25"/>
  <c r="I14" i="25"/>
  <c r="R29" i="25"/>
  <c r="U29" i="25" s="1"/>
  <c r="AF28" i="25"/>
  <c r="AG28" i="25" s="1"/>
  <c r="AD28" i="25"/>
  <c r="AE28" i="25" s="1"/>
  <c r="H29" i="13"/>
  <c r="I29" i="13"/>
  <c r="K29" i="13"/>
  <c r="L29" i="13"/>
  <c r="J29" i="13"/>
  <c r="N29" i="13"/>
  <c r="M29" i="13"/>
  <c r="F14" i="13"/>
  <c r="AD24" i="15"/>
  <c r="AE24" i="15" s="1"/>
  <c r="AF24" i="15"/>
  <c r="AG24" i="15" s="1"/>
  <c r="V25" i="15"/>
  <c r="T26" i="15"/>
  <c r="L30" i="2"/>
  <c r="K30" i="2"/>
  <c r="Z29" i="2"/>
  <c r="AA29" i="2" s="1"/>
  <c r="X29" i="2"/>
  <c r="Y29" i="2" s="1"/>
  <c r="AB29" i="2" s="1"/>
  <c r="AC29" i="2" s="1"/>
  <c r="AF29" i="2"/>
  <c r="AI24" i="15"/>
  <c r="AH28" i="25"/>
  <c r="AH24" i="15"/>
  <c r="AI28" i="25"/>
  <c r="W14" i="25" l="1"/>
  <c r="H30" i="25" s="1"/>
  <c r="J30" i="25" s="1"/>
  <c r="AL28" i="25"/>
  <c r="L30" i="25"/>
  <c r="J29" i="25"/>
  <c r="I30" i="25"/>
  <c r="K29" i="25" s="1"/>
  <c r="S29" i="25" s="1"/>
  <c r="W30" i="25"/>
  <c r="O30" i="25"/>
  <c r="P30" i="25" s="1"/>
  <c r="Q30" i="25" s="1"/>
  <c r="AB30" i="25" s="1"/>
  <c r="AC30" i="25" s="1"/>
  <c r="F30" i="13"/>
  <c r="G14" i="13"/>
  <c r="G30" i="13" s="1"/>
  <c r="E14" i="13"/>
  <c r="Z29" i="13"/>
  <c r="AA29" i="13"/>
  <c r="Q29" i="13"/>
  <c r="U29" i="13"/>
  <c r="W29" i="13"/>
  <c r="R29" i="13"/>
  <c r="AH29" i="13"/>
  <c r="Y29" i="13"/>
  <c r="S29" i="13"/>
  <c r="AC29" i="13"/>
  <c r="X29" i="13"/>
  <c r="AI29" i="13"/>
  <c r="T29" i="13"/>
  <c r="AE29" i="13"/>
  <c r="AL29" i="13"/>
  <c r="AB29" i="13"/>
  <c r="AD29" i="13"/>
  <c r="V29" i="13"/>
  <c r="AF29" i="13"/>
  <c r="AG29" i="13" s="1"/>
  <c r="P29" i="13"/>
  <c r="O29" i="13"/>
  <c r="AL24" i="15"/>
  <c r="V26" i="15"/>
  <c r="T27" i="15"/>
  <c r="AF25" i="15"/>
  <c r="AG25" i="15" s="1"/>
  <c r="AD25" i="15"/>
  <c r="AE25" i="15" s="1"/>
  <c r="AD29" i="2"/>
  <c r="AE29" i="2" s="1"/>
  <c r="U30" i="2"/>
  <c r="V30" i="2" s="1"/>
  <c r="W30" i="2" s="1"/>
  <c r="Q30" i="2"/>
  <c r="R30" i="2"/>
  <c r="M30" i="2"/>
  <c r="N30" i="2" s="1"/>
  <c r="AG29" i="2"/>
  <c r="AI25" i="15"/>
  <c r="AH25" i="15"/>
  <c r="Z30" i="25" l="1"/>
  <c r="AA30" i="25" s="1"/>
  <c r="X30" i="25"/>
  <c r="R30" i="25"/>
  <c r="U30" i="25" s="1"/>
  <c r="K30" i="25"/>
  <c r="S30" i="25" s="1"/>
  <c r="T29" i="25"/>
  <c r="X29" i="25"/>
  <c r="Y29" i="25" s="1"/>
  <c r="Y30" i="25" s="1"/>
  <c r="Y14" i="13"/>
  <c r="V14" i="13"/>
  <c r="J14" i="13"/>
  <c r="I14" i="13"/>
  <c r="H14" i="13"/>
  <c r="W14" i="13"/>
  <c r="E30" i="13"/>
  <c r="X14" i="13"/>
  <c r="M30" i="13"/>
  <c r="N30" i="13"/>
  <c r="AL25" i="15"/>
  <c r="T28" i="15"/>
  <c r="V27" i="15"/>
  <c r="AF26" i="15"/>
  <c r="AG26" i="15" s="1"/>
  <c r="AD26" i="15"/>
  <c r="AE26" i="15" s="1"/>
  <c r="AJ29" i="2"/>
  <c r="P30" i="2"/>
  <c r="S30" i="2" s="1"/>
  <c r="T30" i="2" s="1"/>
  <c r="O30" i="2"/>
  <c r="AI26" i="15"/>
  <c r="AH26" i="15"/>
  <c r="V29" i="25" l="1"/>
  <c r="T30" i="25"/>
  <c r="V30" i="25" s="1"/>
  <c r="H30" i="13"/>
  <c r="AC30" i="13"/>
  <c r="Z30" i="13"/>
  <c r="O30" i="13"/>
  <c r="T30" i="13"/>
  <c r="Y30" i="13"/>
  <c r="AE30" i="13"/>
  <c r="AA30" i="13"/>
  <c r="R30" i="13"/>
  <c r="AD30" i="13"/>
  <c r="P30" i="13"/>
  <c r="Q30" i="13"/>
  <c r="U30" i="13"/>
  <c r="AL30" i="13"/>
  <c r="W30" i="13"/>
  <c r="AI30" i="13"/>
  <c r="V30" i="13"/>
  <c r="AH30" i="13"/>
  <c r="AF30" i="13"/>
  <c r="AG30" i="13" s="1"/>
  <c r="S30" i="13"/>
  <c r="X30" i="13"/>
  <c r="AB30" i="13"/>
  <c r="L30" i="13"/>
  <c r="K30" i="13"/>
  <c r="J30" i="13"/>
  <c r="I30" i="13"/>
  <c r="AL26" i="15"/>
  <c r="AD27" i="15"/>
  <c r="AE27" i="15" s="1"/>
  <c r="AF27" i="15"/>
  <c r="AG27" i="15" s="1"/>
  <c r="T29" i="15"/>
  <c r="V29" i="15" s="1"/>
  <c r="V28" i="15"/>
  <c r="X30" i="2"/>
  <c r="Y30" i="2" s="1"/>
  <c r="AB30" i="2" s="1"/>
  <c r="AC30" i="2" s="1"/>
  <c r="Z30" i="2"/>
  <c r="AA30" i="2" s="1"/>
  <c r="AI27" i="15"/>
  <c r="AH27" i="15"/>
  <c r="AF30" i="2"/>
  <c r="AF30" i="25" l="1"/>
  <c r="AD30" i="25"/>
  <c r="AD29" i="25"/>
  <c r="AE29" i="25" s="1"/>
  <c r="AF29" i="25"/>
  <c r="AG29" i="25" s="1"/>
  <c r="K22" i="13"/>
  <c r="S22" i="13" s="1"/>
  <c r="K21" i="13"/>
  <c r="S21" i="13" s="1"/>
  <c r="J22" i="13"/>
  <c r="T22" i="13" s="1"/>
  <c r="V22" i="13" s="1"/>
  <c r="J21" i="13"/>
  <c r="X22" i="13"/>
  <c r="Y22" i="13" s="1"/>
  <c r="AD22" i="13" s="1"/>
  <c r="AE22" i="13" s="1"/>
  <c r="AF22" i="13"/>
  <c r="AG22" i="13" s="1"/>
  <c r="AL27" i="15"/>
  <c r="AD28" i="15"/>
  <c r="AE28" i="15" s="1"/>
  <c r="AF28" i="15"/>
  <c r="AG28" i="15" s="1"/>
  <c r="AD29" i="15"/>
  <c r="AF29" i="15"/>
  <c r="AD30" i="2"/>
  <c r="AE30" i="2" s="1"/>
  <c r="AI22" i="13"/>
  <c r="AH22" i="13"/>
  <c r="AI28" i="15"/>
  <c r="AG30" i="2"/>
  <c r="AI29" i="25"/>
  <c r="AH29" i="25"/>
  <c r="AH28" i="15"/>
  <c r="AG30" i="25" l="1"/>
  <c r="AL29" i="25"/>
  <c r="AE30" i="25"/>
  <c r="T21" i="13"/>
  <c r="V21" i="13" s="1"/>
  <c r="X21" i="13"/>
  <c r="Y21" i="13" s="1"/>
  <c r="AE29" i="15"/>
  <c r="AL22" i="13"/>
  <c r="AG29" i="15"/>
  <c r="AL28" i="15"/>
  <c r="AJ30" i="2"/>
  <c r="AI30" i="25"/>
  <c r="AH29" i="15"/>
  <c r="AH30" i="25"/>
  <c r="AI29" i="15"/>
  <c r="AL30" i="25" l="1"/>
  <c r="AD21" i="13"/>
  <c r="AE21" i="13" s="1"/>
  <c r="AF21" i="13"/>
  <c r="AG21" i="13" s="1"/>
  <c r="AL29" i="15"/>
  <c r="AH21" i="13"/>
  <c r="AI21" i="13"/>
  <c r="AL21" i="13"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D5BDF3A-DD77-4BB7-977D-5767040CF2B0}" keepAlive="1" name="Query - 4weken" description="Verbinding maken met de query 4weken in de werkmap." type="5" refreshedVersion="0" background="1" saveData="1">
    <dbPr connection="Provider=Microsoft.Mashup.OleDb.1;Data Source=$Workbook$;Location=4weken;Extended Properties=&quot;&quot;" command="SELECT * FROM [4weken]"/>
  </connection>
</connections>
</file>

<file path=xl/sharedStrings.xml><?xml version="1.0" encoding="utf-8"?>
<sst xmlns="http://schemas.openxmlformats.org/spreadsheetml/2006/main" count="1809" uniqueCount="245">
  <si>
    <t>Jaar :</t>
  </si>
  <si>
    <t>Periode</t>
  </si>
  <si>
    <t>Inkomstenperiode</t>
  </si>
  <si>
    <t>DatAanvTv</t>
  </si>
  <si>
    <t>DatEindTv</t>
  </si>
  <si>
    <t>Leeftijd</t>
  </si>
  <si>
    <t>DatAanvIKV</t>
  </si>
  <si>
    <t>DatEindIKV</t>
  </si>
  <si>
    <t>CdRdnEindArbov</t>
  </si>
  <si>
    <t>SrtIV</t>
  </si>
  <si>
    <t>CdAard</t>
  </si>
  <si>
    <t>AantVerlU</t>
  </si>
  <si>
    <t>LnSV</t>
  </si>
  <si>
    <t>VakBsl</t>
  </si>
  <si>
    <t>OpgRchtVakBsl</t>
  </si>
  <si>
    <t>OpnAvwb</t>
  </si>
  <si>
    <t>OpbAvwb</t>
  </si>
  <si>
    <t>LnInGld</t>
  </si>
  <si>
    <t>&lt;RegLn&gt;</t>
  </si>
  <si>
    <t>Verloningsperiodiciteit :</t>
  </si>
  <si>
    <t>Vierwekelijks</t>
  </si>
  <si>
    <t>Geboortedatum werknemer :</t>
  </si>
  <si>
    <t>Aanvang inkomstenverhouding:</t>
  </si>
  <si>
    <t>Einde inkomstenverhouding:</t>
  </si>
  <si>
    <t>Sector:</t>
  </si>
  <si>
    <t>Zorgvervoer en taxi</t>
  </si>
  <si>
    <t>Normuren per week:</t>
  </si>
  <si>
    <t>Excedentregeling:</t>
  </si>
  <si>
    <t>Zie Loonaangiftebericht</t>
  </si>
  <si>
    <t>basis grondslag</t>
  </si>
  <si>
    <t>excedent grondslag</t>
  </si>
  <si>
    <t>basis premie</t>
  </si>
  <si>
    <t>excedent premie</t>
  </si>
  <si>
    <t>wia excedent premie</t>
  </si>
  <si>
    <t>ao-pensioen premie</t>
  </si>
  <si>
    <t>totaal premie</t>
  </si>
  <si>
    <t>ingangsdatum</t>
  </si>
  <si>
    <t>einddatum</t>
  </si>
  <si>
    <t>&lt;AantVerlU&gt;</t>
  </si>
  <si>
    <t>normuren per week</t>
  </si>
  <si>
    <t>startdatum</t>
  </si>
  <si>
    <t>dagen in periode</t>
  </si>
  <si>
    <t>deel periode</t>
  </si>
  <si>
    <t>deel van jaar berekening</t>
  </si>
  <si>
    <t>normuren periode</t>
  </si>
  <si>
    <t>cum regelingloon</t>
  </si>
  <si>
    <t>cum uren voor regeling</t>
  </si>
  <si>
    <t>cum normuren</t>
  </si>
  <si>
    <t>parttime%</t>
  </si>
  <si>
    <t>franchise per uur</t>
  </si>
  <si>
    <t>franchise periode</t>
  </si>
  <si>
    <t>cum franchise</t>
  </si>
  <si>
    <t>max_loon_basis 
per periode</t>
  </si>
  <si>
    <t>cum max_loon</t>
  </si>
  <si>
    <t>max_loon_exc 
per periode</t>
  </si>
  <si>
    <t>cum max_fiscaal_loon</t>
  </si>
  <si>
    <t>cumulatief</t>
  </si>
  <si>
    <t>aanwas</t>
  </si>
  <si>
    <t>per periode</t>
  </si>
  <si>
    <t>Inkomsten-periode</t>
  </si>
  <si>
    <t>CdIncInkVerm</t>
  </si>
  <si>
    <t>RegUren</t>
  </si>
  <si>
    <t>Loon na einde IKV</t>
  </si>
  <si>
    <t>Uren na einde IKV</t>
  </si>
  <si>
    <t>Maandelijks</t>
  </si>
  <si>
    <t>Beschrijving Use Case</t>
  </si>
  <si>
    <t>Werknemer is 1-5-2026 in dienst getreden</t>
  </si>
  <si>
    <t>Loon blijft onder maximum loongrens basisregeling</t>
  </si>
  <si>
    <t xml:space="preserve">Gegevens vanuit het ontvangsportaal LAK  </t>
  </si>
  <si>
    <t xml:space="preserve"> Berekeningsgrondslag in de pensioenadministratie</t>
  </si>
  <si>
    <t>wia-aanvulling premie</t>
  </si>
  <si>
    <t>&lt;RegUren&gt;</t>
  </si>
  <si>
    <r>
      <rPr>
        <b/>
        <sz val="14"/>
        <color rgb="FFFFFFFF"/>
        <rFont val="Arial"/>
      </rPr>
      <t xml:space="preserve">Voorbeeldsituaties #
</t>
    </r>
    <r>
      <rPr>
        <b/>
        <sz val="9"/>
        <color rgb="FFFFFFFF"/>
        <rFont val="Arial"/>
      </rPr>
      <t>(met verwijziging naar paragraaf in Handboek LAK)</t>
    </r>
  </si>
  <si>
    <t>Impact op de gegevenselementen in het Loonaangiftebericht</t>
  </si>
  <si>
    <t>Impact op Regelingloon / Pensioengrondslag</t>
  </si>
  <si>
    <t>Bedrag Loon in Geld</t>
  </si>
  <si>
    <t>Aantal Verloonde Uren</t>
  </si>
  <si>
    <t>Opbouw Vakantiebijslag (VT)/ Arbeidsvoorwaardenbedrag (AVB)</t>
  </si>
  <si>
    <t>Uitbetaling Vakantiebijslag (VT)/ Arbeidsvoorwaardenbedrag (AVB)</t>
  </si>
  <si>
    <t>§ 5.1</t>
  </si>
  <si>
    <t>Uitbetaling van belastbare vergoedingen, zoals reiskostenvergoedingen boven het fiscaal maximum, verhogen het te betalen Loon in Geld.</t>
  </si>
  <si>
    <t>▲</t>
  </si>
  <si>
    <t xml:space="preserve">Extra uitbetaling van de (belaste) vergoedingen leiden tot een hoger Loon in Geld. </t>
  </si>
  <si>
    <t>▬</t>
  </si>
  <si>
    <t xml:space="preserve">Geen extra Verloonde Uren. </t>
  </si>
  <si>
    <t>Geen effect.</t>
  </si>
  <si>
    <t>Vergoedingen tellen mee in het Regelingloon, echter zonder extra aftrek van Franchise want er staan geen extra Verloonde Uren tegenover.</t>
  </si>
  <si>
    <t>§ 5.4</t>
  </si>
  <si>
    <t>Afkoop (boven-)/wettelijke vakantiedagen tijdens het dienstverband zorgt voor een betaling Loon in Geld. De uitbetaalde vakantie-uren zijn Verloonde Uren.</t>
  </si>
  <si>
    <t>Extra uitbetaling van de tegenwaarde van de vakantiedagen.</t>
  </si>
  <si>
    <t>Extra uren van de vakantiedagen moeten worden opgegeven als Verloonde Uren.</t>
  </si>
  <si>
    <t xml:space="preserve">Geen effect op de opbouw 
van VT of AVB. </t>
  </si>
  <si>
    <t xml:space="preserve">Geen effect op de uitbetaling 
van VT of AVB. </t>
  </si>
  <si>
    <t xml:space="preserve">Het Regelingloon wordt hoger in de periode waarin de tegenwaarde van vakantiedagen wordt uitbetaald. Daar staat tegenover dat minder vakantiedagen worden opgenomen die ook zouden meetellen in het Regelingloon en het Aantal Verloonde Uren. </t>
  </si>
  <si>
    <t>§ 5.5</t>
  </si>
  <si>
    <t>Aankoop van extra vakantiedagen zorgt voor een verlaging van het Loon in Geld en vermindering van het Aantal Verloonde Uren.</t>
  </si>
  <si>
    <t>▼</t>
  </si>
  <si>
    <t>Verlaging van Loon in Geld.</t>
  </si>
  <si>
    <t xml:space="preserve">Verlaging van het Aantal Verloonde Uren. </t>
  </si>
  <si>
    <t xml:space="preserve">Het Regelingloon wordt lager in de periode waarin vakantiedagen worden gekocht. Daar staat tegenover dat meer betaalde vakantiedagen kunnen worden opgenomen die dan gewoon meetellen in het Regelingloon en het Aantal Verloonde Uren. </t>
  </si>
  <si>
    <t>§ 5.9</t>
  </si>
  <si>
    <t>Fiets van de zaak (leasefiets)</t>
  </si>
  <si>
    <t>Bijtelling in Loon LB/PH en ook Loon in Geld.</t>
  </si>
  <si>
    <t xml:space="preserve">Voor een ter beschikking gestelde fiets wordt 7% van de waarde als loon aangemerkt. Het Regelingloon stijgt. Tenzij hiervoor gebruik wordt gemaakt van de vrije ruimte in de werkkostenregeling. </t>
  </si>
  <si>
    <t>§ 6.4</t>
  </si>
  <si>
    <t>Postuum loon en overlijdensuitkeringen</t>
  </si>
  <si>
    <t>Postuum loon en overlijdens-uitkeringen zijn in beginsel extra Loon in Geld.</t>
  </si>
  <si>
    <t>Loon na overlijden wordt niet meegeteld in Regelingloon: het loontijdvak van overlijden (en latere tijdvakken) telt niet mee. Rekening houden met de Code Reden Einde Arbeidsovereenkomst.</t>
  </si>
  <si>
    <t>§ 7.4a</t>
  </si>
  <si>
    <t>Overwerk</t>
  </si>
  <si>
    <t xml:space="preserve">Het loon inclusief de overwerktoeslag verhoogt het Loon in Geld. </t>
  </si>
  <si>
    <t xml:space="preserve">Overuren zijn net als contracturen Verloonde Uren. </t>
  </si>
  <si>
    <t xml:space="preserve">Over het overwerkloon wordt normaal gesproken ook VT (en AVB) berekend. </t>
  </si>
  <si>
    <t xml:space="preserve">De uitbetaling van VT of AVB zal dan ook hoger worden. </t>
  </si>
  <si>
    <t xml:space="preserve">Het Regelingloon stijgt door de uitbetaalde overuren inclusief de overwerktoeslagen. De Franchise stijgt door het aantal Verloonde (over-) Uren. </t>
  </si>
  <si>
    <t>§ 7.4b</t>
  </si>
  <si>
    <t>Meerwerk parttime</t>
  </si>
  <si>
    <t xml:space="preserve">Het loon inclusief de overwerktoeslag voor gewerkte meeruren verhoogt het Loon in Geld. </t>
  </si>
  <si>
    <t xml:space="preserve">Meeruren zijn net als contracturen Verloonde Uren. </t>
  </si>
  <si>
    <t xml:space="preserve">Over het loon wordt normaal gesproken ook VT (en AVB) berekend. </t>
  </si>
  <si>
    <t xml:space="preserve">Conform memo TLN: 
in 2026 nog gemaximeerd op 1.0, vanaf 1.1.2027 niet meer. </t>
  </si>
  <si>
    <t>§ 7.8a</t>
  </si>
  <si>
    <t>Consignatievergoeding per uur</t>
  </si>
  <si>
    <t xml:space="preserve">De vergoeding voor consignatie- of beschikbaarheidsdiensten hoort tot het Loon in Geld. </t>
  </si>
  <si>
    <t xml:space="preserve">Als er een vergoeding per uur is, dan tellen de beschikbaarheidsuren ook mee als Verloonde Uren. </t>
  </si>
  <si>
    <t xml:space="preserve">Als vergoedingen per uur lager zijn dan de Franchise per uur, kan door het meetellen van beschikbaarheidsdiensten de Pensioengrondslag onbedoeld dalen. </t>
  </si>
  <si>
    <t>§ 7.8b</t>
  </si>
  <si>
    <t>Vergoeding per beschikbaarheidsdienst</t>
  </si>
  <si>
    <t xml:space="preserve">Vergoedingen per dag of dagdeel leiden niet tot extra Verloonde Uren. </t>
  </si>
  <si>
    <t xml:space="preserve">De vergoedingen worden volledig meegenomen in het Regelingloon en de Pensioengrondslag. </t>
  </si>
  <si>
    <t>H 10a</t>
  </si>
  <si>
    <t>Negatief loon met + uren binnen de geldigheid van het dienstverband</t>
  </si>
  <si>
    <t>Negatief bedragen aan Loon in Geld worden in de VCR-berekening betrokken.</t>
  </si>
  <si>
    <t>Positief aantal Verloonde Uren.</t>
  </si>
  <si>
    <t xml:space="preserve">Geen effect op de opbouw van VT of AVB tenzij het negatief loon betreft waarover de VT wordt berekend. </t>
  </si>
  <si>
    <t xml:space="preserve">De uitbetaling van VT of AVB zal dan ook lager worden. </t>
  </si>
  <si>
    <t xml:space="preserve">Een negatief bedrag aan Loon in Geld in combinatie met een positief aantal Verloonde Uren leidt tot een negatief Regelingloon in de betreffende periode. </t>
  </si>
  <si>
    <t>H 10b</t>
  </si>
  <si>
    <t>Negatieve uren met + loon</t>
  </si>
  <si>
    <t>Een bedrag aan Loon in Geld groter dan € 0 wordt in de VCR-berekening betrokken.</t>
  </si>
  <si>
    <t>Negatief aantal Verloonde Uren.</t>
  </si>
  <si>
    <t xml:space="preserve">Door het negatieve aantal Verloon Uren wordt de Franchise in deze periode negatief en dus in het Regelingloon opgeteld bij de berekening van de Pensioengrondslag. </t>
  </si>
  <si>
    <t>H 10c</t>
  </si>
  <si>
    <t>Negatief loon met - uren</t>
  </si>
  <si>
    <t xml:space="preserve">Een negatief bedrag aan Loon in Geld in combinatie met een negatief aantal Verloonde Uren leidt tot zowel een afname van het Regelingloon als de Franchise in de betreffende periode. </t>
  </si>
  <si>
    <t>H 10d</t>
  </si>
  <si>
    <t>Negatieve uren met negatief loon in kalenderjaar</t>
  </si>
  <si>
    <t>Het enige Loon in Geld in het lopende kallenderjaar is negatief.</t>
  </si>
  <si>
    <t xml:space="preserve">Als de enige verloning in een kalenderjaar uitsluitend negatief Loon in Geld en een negatief aantal Verloonde Uren bevat, dan valt er in de VCR-berekening niets te verrekenen: de minimum Pensioengrondslag van € 0 treedt in werking. </t>
  </si>
  <si>
    <t>§ 11.2a</t>
  </si>
  <si>
    <r>
      <t xml:space="preserve">Nabetalingen [betaling na einde dienstverband] </t>
    </r>
    <r>
      <rPr>
        <u/>
        <sz val="10"/>
        <color theme="3"/>
        <rFont val="Arial"/>
        <family val="2"/>
      </rPr>
      <t>met</t>
    </r>
    <r>
      <rPr>
        <sz val="10"/>
        <color theme="3"/>
        <rFont val="Arial"/>
        <family val="2"/>
      </rPr>
      <t xml:space="preserve"> uren zorgen voor een hoger Loon in Geld én een hoger Aantal Verloonde Uren.</t>
    </r>
  </si>
  <si>
    <t>Nabetaling van bijvoorbeeld vakantiebijslag of uitbetaalde vakantiedagen leiden tot een hoger Loon in Geld</t>
  </si>
  <si>
    <t xml:space="preserve">Extra uren van de vakantiedagen zijn Verloonde Uren. Uitbetaald vakantiegeld niet. </t>
  </si>
  <si>
    <t xml:space="preserve">Geen effect op de opbouw van VT of AVB tenzij de uitbetaling ook loon betreft waarover de VT wordt berekend. </t>
  </si>
  <si>
    <t xml:space="preserve">Telt mee in Regelingloon mits &lt;CdSrtIKV&gt; = 11, 13, 15.
Let op: loon uit vroegere dienstbetrekking is niet pensioengevend mits verloond met &lt;CdSrtIKV&gt; = 63. </t>
  </si>
  <si>
    <t>§ 11.2b</t>
  </si>
  <si>
    <r>
      <t xml:space="preserve">Nabetalingen </t>
    </r>
    <r>
      <rPr>
        <u/>
        <sz val="10"/>
        <color theme="3"/>
        <rFont val="Arial"/>
        <family val="2"/>
      </rPr>
      <t>zonder</t>
    </r>
    <r>
      <rPr>
        <sz val="10"/>
        <color theme="3"/>
        <rFont val="Arial"/>
        <family val="2"/>
      </rPr>
      <t xml:space="preserve"> uren zorgen voor een bedrag Loon in geld maar kennen geen Verloonde uren.</t>
    </r>
  </si>
  <si>
    <t xml:space="preserve">Bijv. gratificatie, tantièmes horen tot het Loon in Geld in de periode waarin deze worden uitbetaald. </t>
  </si>
  <si>
    <t>Telt mee in Regelingloon, echter zonder extra aftrek Franchise omdat er geen (extra) Verloonde Uren zijn.</t>
  </si>
  <si>
    <t>§ 11.4</t>
  </si>
  <si>
    <t xml:space="preserve">Kwijtschelding negatief loon - 
na einde dienstverband. </t>
  </si>
  <si>
    <t>Een afboeking van een niet-inbare vordering is in beginsel Loon in Geld.</t>
  </si>
  <si>
    <t>Bijv. kwijtschelden studieschuld.
Kwijtschelden is voor de Belastingdienst Loon (in Geld). Als dit met &lt;CdSrtIKV&gt; = 13 of 15 wordt verloond, hoort het ook tot het Regelingloon.</t>
  </si>
  <si>
    <t>§ 7.8c</t>
  </si>
  <si>
    <t>Reisuren</t>
  </si>
  <si>
    <t xml:space="preserve">Als reisuren door de werkgever - los van de reiskostenvergoeding - worden betaald, dan verhogen deze het Loon in Geld. </t>
  </si>
  <si>
    <t>Extra uren door betaalde reisuren zijn Verloonde Uren.</t>
  </si>
  <si>
    <t xml:space="preserve">Over de Verloonde Uren wordt normaal gesproken ook VT (en AVB) berekend. </t>
  </si>
  <si>
    <t xml:space="preserve">Afhankelijk van cao-afspraken of individuele afspraken tussen werkgever en werknemer: als de uren betaald worden, dan tellen ze v.w.b. het Loon in Geld en de Verloonde uren mee bij de berekening van de Pensioengrondslag. </t>
  </si>
  <si>
    <t>§ 6.1</t>
  </si>
  <si>
    <t>Transitievergoedingen</t>
  </si>
  <si>
    <t xml:space="preserve">Mits een transitievergoeding correct wordt verloond met Code Soort IKV = 62, telt het bedrag niet mee in het Pensioegevend Loon. </t>
  </si>
  <si>
    <t>Besloten Bus</t>
  </si>
  <si>
    <t>Werknemer ontvangt een vergoeding voor de dagelijkse reiskosten @ €0,45. Voor woon-werkverkeer reist werknemer dagelijks 60 kilometer en declareert ook 2 keer per maand een reis naar het hoofdkantoor, retour 180 kilometer per keer. De reisuren worden niet vergoed.
Totaal ontvangt werknemer voor iedere gewerkte dag 60 km x € 0,20 = € 12,00 extra loon in geld en maandelijks 2 x 180 km x € 0,20 = € 72,00. In juli is werknemer op vakantie.</t>
  </si>
  <si>
    <t xml:space="preserve">Werknemer is 1-5-2026 in dienst getreden. Werknemer heeft 31-8-2027 op eigen initiatief de laatste werkdag. Werknemer heeft al in juli zijn overtollige vakantiedagen verkocht. </t>
  </si>
  <si>
    <t>Werknemer is 1-1-2025 in dienst getreden en wil 10 extra vakantiedagen kopen. Dit wordt verrekend met het loon in periode 4 April. Vakantiebijslag wordt betaald in periode 5 Mei, arbeidsvoorwaardenbedrag in periode 12 December.</t>
  </si>
  <si>
    <t>Orsima</t>
  </si>
  <si>
    <t>Werknemer is 1-1-2025 in dienst getreden en krijgt op 1-8-2027 de beschikking over een lease-fiets.</t>
  </si>
  <si>
    <t xml:space="preserve">Werknemer is vóór 1-1-2027 in dienst getreden. 
Werknemer is op 31-5-2027 uit dienst getreden en ontvangt in de maand juni nog een transitievergoeding. </t>
  </si>
  <si>
    <t>Werknemer is vóór 1-1-2027 in dienst getreden. 
Werknemer is op 10-8-2027 overleden.
Het loon over de maand van overlijden alsmede de nabestaandenuitkering behoren niet tot het Regelingloon.</t>
  </si>
  <si>
    <t>Goederenvervoer en kraanverhuur</t>
  </si>
  <si>
    <t xml:space="preserve">Werknemer is vóór 1-1-2027 in dienst getreden en werkt het hele jaar.
Hij werkt fulltime en werkt in de maanden juli en augustus 40 uur over. </t>
  </si>
  <si>
    <t>Werknemer is vóór 1-1-2027 in dienst getreden en werkt het hele jaar.
Hij werkt normaal gesproken dagen in de week (80%) en werkt in de maanden juli en augustus 40 uur over. Deze overuren worden inclusief overwerktoeslag verloond.</t>
  </si>
  <si>
    <t xml:space="preserve">Werknemer is vóór 1-1-2027 in dienst getreden en werkt het hele jaar.
Hij werkt fulltime en draait in de maanden januari t/m maart beschikbaarheidsdiensten van 4 uur op zaterdagen zondagen. De vergoeding hiervoor bedraagt €5 per uur. Hij heeft niet in actie hoeven komen dus er is geen sprake van overuren. </t>
  </si>
  <si>
    <t xml:space="preserve">Werknemer is vóór 1-1-2027 in dienst getreden en werkt het hele jaar.
Hij werkt fulltime en draait in de maanden januari t/m maart beschikbaarheidsdiensten van 4 uur op zaterdagen zondagen. De vergoeding hiervoor bedraagt €40 per weekend. Hij heeft niet in actie hoeven komen dus er is geen sprake van overuren. </t>
  </si>
  <si>
    <t xml:space="preserve">Werknemer is vóór 1-1-2027 in dienst getreden en werkt het hele jaar.
Hij werkt fulltime en draait in de oktober/november een project op locatie waarvoor naast het reguliere loon 2 reisuren per werkdag als werkuren worden vergoed. </t>
  </si>
  <si>
    <t>Werkt onregelmatig - tijdvakken zonder uren</t>
  </si>
  <si>
    <t>Oproepkracht met verschijningsplicht: nulaangifte indien geen werk</t>
  </si>
  <si>
    <t>In periode 6: negatief loon door verrekening verkeersboetes</t>
  </si>
  <si>
    <t>Per 31 juli ontslag zonder verdere verrekening</t>
  </si>
  <si>
    <t>Vakantiebijslag: opbouw en onmiddellijke uitkering</t>
  </si>
  <si>
    <t>Werknemer is 1-1-2027 in dienst getreden</t>
  </si>
  <si>
    <t xml:space="preserve">In periode 5:niet gewerkt, verrekening te veel uitbetaalde uren </t>
  </si>
  <si>
    <t xml:space="preserve"> met uitbetaling opgebouwd vakantiegeld</t>
  </si>
  <si>
    <t>Uurloon € 20,00</t>
  </si>
  <si>
    <t>In periode 5: niet gewerkt, verrekening te veel uitbetaalde uren</t>
  </si>
  <si>
    <t>Werknemer heeft in 2026 gewerkt en ging vóór 1-1-2027 uit dienst.</t>
  </si>
  <si>
    <t>Uurloon € 15.</t>
  </si>
  <si>
    <t>In januari 2027 vond nog een verrekening van teveel opgenomen</t>
  </si>
  <si>
    <t xml:space="preserve"> vakantiedagen plaats. </t>
  </si>
  <si>
    <t>NIET WAAR</t>
  </si>
  <si>
    <t>Werknemer beeindigt het dienstverband op 30 april. In mei wordt het bedrag Vakantiebijslag betaald maar ook 5 resterende wettelijke vakantiedagen.
Nabetalingen [betaling na einde dienstverband] met uren zorgen voor een hoger Loon in geld én Verloonde uren</t>
  </si>
  <si>
    <t xml:space="preserve">Werknemer beeindigt het dienstverband op 30 april. In mei wordt het bedrag Vakantiebijslag betaald en een vergoeding van € 500,00 voor het aanbrengen van een nieuwe collega.
</t>
  </si>
  <si>
    <t xml:space="preserve">Werknemer beeindigt het dienstverband op 30 april. In mei moet de werknemer nog de kosten van een niet-verplichte cursus terugbetalen. 
Na enkele herinneringen blijkt dat dit bedrag niet meer verhaald kan worden scheldt de werkgever het bedrag kwijt. In principe is het bedrag van de kwijtschelding daarmee Loon in Geld geworden. En als dit onder de recent beëindigde IKV wordt geboekt met Code Soort IKV = 13 of 15, hoort het ook tot het Regelingloon. 
Door deze met Code Soort IKV = 63 als "betaling op grond van een afspraak na einde dienstbetrekking" te verlonen, telt deze niet mee in het Regelingloon. 
</t>
  </si>
  <si>
    <t>4-wekelijkse kalender</t>
  </si>
  <si>
    <t>Maandelijkse kalender</t>
  </si>
  <si>
    <t>Jaar</t>
  </si>
  <si>
    <t>Begin</t>
  </si>
  <si>
    <t>Eind</t>
  </si>
  <si>
    <t>ingang</t>
  </si>
  <si>
    <t>eind</t>
  </si>
  <si>
    <t>&gt;</t>
  </si>
  <si>
    <t>franchise</t>
  </si>
  <si>
    <t>max loon</t>
  </si>
  <si>
    <t>max loon exc</t>
  </si>
  <si>
    <t>premieperc</t>
  </si>
  <si>
    <t>Code Soort</t>
  </si>
  <si>
    <t>Code Aard</t>
  </si>
  <si>
    <t>Code Einde</t>
  </si>
  <si>
    <t>januari</t>
  </si>
  <si>
    <t>februari</t>
  </si>
  <si>
    <t>maart</t>
  </si>
  <si>
    <t>april</t>
  </si>
  <si>
    <t>mei</t>
  </si>
  <si>
    <t>Sector</t>
  </si>
  <si>
    <t>Franchise</t>
  </si>
  <si>
    <t>Max basis</t>
  </si>
  <si>
    <t>Max Excedent</t>
  </si>
  <si>
    <t>Premie tot</t>
  </si>
  <si>
    <t>Premie wg</t>
  </si>
  <si>
    <t>Premie wn</t>
  </si>
  <si>
    <t>Normuren</t>
  </si>
  <si>
    <t>juni</t>
  </si>
  <si>
    <t>Beroepsgoederenvervoer Cao - belangrijkste punten toegelicht | Flexpedia</t>
  </si>
  <si>
    <t>juli</t>
  </si>
  <si>
    <t>Zorgvervoer en Taxi cao 2026-2027</t>
  </si>
  <si>
    <t>augustus</t>
  </si>
  <si>
    <t>Besloten Busvervoer cao 2025-2026</t>
  </si>
  <si>
    <t>september</t>
  </si>
  <si>
    <t>Orsima-Cao-1-maart-2025-30-april-2026.pdf</t>
  </si>
  <si>
    <t>oktober</t>
  </si>
  <si>
    <t>Overig</t>
  </si>
  <si>
    <t>november</t>
  </si>
  <si>
    <t>december</t>
  </si>
  <si>
    <t>Een transitievergoeding wordt verloond met Code Soort IKV = 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</si>
</sst>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quot;\ #,##0.00;[Red]&quot;€&quot;\ \-#,##0.00"/>
    <numFmt numFmtId="44" formatCode="_ &quot;€&quot;\ * #,##0.00_ ;_ &quot;€&quot;\ * \-#,##0.00_ ;_ &quot;€&quot;\ * &quot;-&quot;??_ ;_ @_ "/>
    <numFmt numFmtId="43" formatCode="_ * #,##0.00_ ;_ * \-#,##0.00_ ;_ * &quot;-&quot;??_ ;_ @_ "/>
    <numFmt numFmtId="164" formatCode="dd/mm/yyyy"/>
    <numFmt numFmtId="165" formatCode="00"/>
    <numFmt numFmtId="166" formatCode="_ * #,##0.000_ ;_ * \-#,##0.000_ ;_ * &quot;-&quot;??_ ;_ @_ "/>
    <numFmt numFmtId="167" formatCode="_ * #,##0.00000_ ;_ * \-#,##0.00000_ ;_ * &quot;-&quot;??_ ;_ @_ "/>
    <numFmt numFmtId="168" formatCode="_ * #,##0.0_ ;_ * \-#,##0.0_ ;_ * &quot;-&quot;??_ ;_ @_ "/>
    <numFmt numFmtId="169" formatCode="_ * #,##0_ ;_ * \-#,##0_ ;_ * &quot;-&quot;??_ ;_ @_ "/>
    <numFmt numFmtId="170" formatCode="0.000%"/>
    <numFmt numFmtId="171" formatCode="&quot;€&quot;\ #,##0.00"/>
    <numFmt numFmtId="172" formatCode="00.00"/>
    <numFmt numFmtId="173" formatCode="#,##0.000_ ;\-#,##0.000\ "/>
    <numFmt numFmtId="174" formatCode="0.000000"/>
    <numFmt numFmtId="175" formatCode="0.0000%"/>
    <numFmt numFmtId="176" formatCode="0.00_ ;[Red]\-0.00\ "/>
  </numFmts>
  <fonts count="25" x14ac:knownFonts="1">
    <font>
      <sz val="10"/>
      <color theme="1"/>
      <name val="Arial"/>
      <family val="2"/>
    </font>
    <font>
      <sz val="10"/>
      <name val="Arial"/>
      <family val="2"/>
    </font>
    <font>
      <sz val="10"/>
      <color theme="1"/>
      <name val="Arial"/>
      <family val="2"/>
    </font>
    <font>
      <b/>
      <sz val="11"/>
      <color theme="0"/>
      <name val="Aptos Narrow"/>
      <family val="2"/>
      <scheme val="minor"/>
    </font>
    <font>
      <sz val="11"/>
      <color theme="1"/>
      <name val="Aptos Narrow"/>
      <family val="2"/>
      <scheme val="minor"/>
    </font>
    <font>
      <b/>
      <sz val="11"/>
      <color theme="1"/>
      <name val="Aptos Narrow"/>
      <family val="2"/>
      <scheme val="minor"/>
    </font>
    <font>
      <sz val="11"/>
      <color rgb="FF3F3F76"/>
      <name val="Aptos Narrow"/>
      <family val="2"/>
      <scheme val="minor"/>
    </font>
    <font>
      <sz val="11"/>
      <name val="Aptos Narrow"/>
      <family val="2"/>
      <scheme val="minor"/>
    </font>
    <font>
      <i/>
      <sz val="10"/>
      <color theme="1"/>
      <name val="Arial"/>
      <family val="2"/>
    </font>
    <font>
      <b/>
      <sz val="11"/>
      <name val="Aptos Narrow"/>
      <family val="2"/>
      <scheme val="minor"/>
    </font>
    <font>
      <b/>
      <sz val="10"/>
      <name val="Arial"/>
      <family val="2"/>
    </font>
    <font>
      <u/>
      <sz val="11"/>
      <color theme="10"/>
      <name val="Aptos Narrow"/>
      <family val="2"/>
      <scheme val="minor"/>
    </font>
    <font>
      <sz val="10"/>
      <color theme="3"/>
      <name val="Arial"/>
      <family val="2"/>
    </font>
    <font>
      <sz val="10"/>
      <color theme="0"/>
      <name val="Arial"/>
      <family val="2"/>
    </font>
    <font>
      <b/>
      <sz val="10"/>
      <color theme="3"/>
      <name val="Arial"/>
      <family val="2"/>
    </font>
    <font>
      <b/>
      <sz val="11"/>
      <color theme="3"/>
      <name val="Aptos Narrow"/>
      <family val="2"/>
      <scheme val="minor"/>
    </font>
    <font>
      <u/>
      <sz val="10"/>
      <color theme="10"/>
      <name val="Arial"/>
      <family val="2"/>
    </font>
    <font>
      <b/>
      <sz val="10"/>
      <color theme="0"/>
      <name val="Arial"/>
      <family val="2"/>
    </font>
    <font>
      <b/>
      <sz val="11"/>
      <color theme="0"/>
      <name val="Arial"/>
      <family val="2"/>
    </font>
    <font>
      <b/>
      <sz val="14"/>
      <color theme="0"/>
      <name val="Arial"/>
      <family val="2"/>
    </font>
    <font>
      <sz val="11"/>
      <name val="Arial"/>
      <family val="2"/>
    </font>
    <font>
      <u/>
      <sz val="10"/>
      <color theme="3"/>
      <name val="Arial"/>
      <family val="2"/>
    </font>
    <font>
      <sz val="18"/>
      <color theme="3"/>
      <name val="Arial"/>
      <family val="2"/>
    </font>
    <font>
      <b/>
      <sz val="14"/>
      <color rgb="FFFFFFFF"/>
      <name val="Arial"/>
    </font>
    <font>
      <b/>
      <sz val="9"/>
      <color rgb="FFFFFFFF"/>
      <name val="Arial"/>
    </font>
  </fonts>
  <fills count="20">
    <fill>
      <patternFill patternType="none"/>
    </fill>
    <fill>
      <patternFill patternType="gray125"/>
    </fill>
    <fill>
      <patternFill patternType="solid">
        <fgColor rgb="FFFFCC99"/>
      </patternFill>
    </fill>
    <fill>
      <patternFill patternType="solid">
        <fgColor theme="1"/>
        <bgColor indexed="64"/>
      </patternFill>
    </fill>
    <fill>
      <patternFill patternType="solid">
        <fgColor theme="7" tint="0.79998168889431442"/>
        <bgColor indexed="64"/>
      </patternFill>
    </fill>
    <fill>
      <patternFill patternType="solid">
        <fgColor theme="7" tint="0.79998168889431442"/>
        <bgColor theme="0" tint="-0.14999847407452621"/>
      </patternFill>
    </fill>
    <fill>
      <patternFill patternType="solid">
        <fgColor rgb="FFC00000"/>
        <bgColor indexed="64"/>
      </patternFill>
    </fill>
    <fill>
      <patternFill patternType="solid">
        <fgColor theme="0"/>
        <bgColor indexed="64"/>
      </patternFill>
    </fill>
    <fill>
      <patternFill patternType="solid">
        <fgColor rgb="FFFDC1BB"/>
        <bgColor indexed="64"/>
      </patternFill>
    </fill>
    <fill>
      <patternFill patternType="solid">
        <fgColor theme="7" tint="0.79998168889431442"/>
        <bgColor theme="0"/>
      </patternFill>
    </fill>
    <fill>
      <patternFill patternType="solid">
        <fgColor rgb="FFFB9489"/>
        <bgColor indexed="64"/>
      </patternFill>
    </fill>
    <fill>
      <patternFill patternType="solid">
        <fgColor rgb="FFF7F7F7"/>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rgb="FFC00000"/>
        <bgColor theme="0"/>
      </patternFill>
    </fill>
    <fill>
      <patternFill patternType="solid">
        <fgColor theme="0" tint="-0.14999847407452621"/>
        <bgColor indexed="64"/>
      </patternFill>
    </fill>
    <fill>
      <patternFill patternType="solid">
        <fgColor theme="4" tint="0.59999389629810485"/>
        <bgColor theme="0" tint="-0.14999847407452621"/>
      </patternFill>
    </fill>
    <fill>
      <patternFill patternType="solid">
        <fgColor theme="3"/>
        <bgColor indexed="64"/>
      </patternFill>
    </fill>
    <fill>
      <patternFill patternType="solid">
        <fgColor theme="7" tint="-0.249977111117893"/>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bottom/>
      <diagonal/>
    </border>
    <border>
      <left/>
      <right/>
      <top style="thin">
        <color indexed="64"/>
      </top>
      <bottom style="thin">
        <color indexed="64"/>
      </bottom>
      <diagonal/>
    </border>
    <border>
      <left/>
      <right/>
      <top/>
      <bottom style="thick">
        <color rgb="FFFF0000"/>
      </bottom>
      <diagonal/>
    </border>
    <border>
      <left/>
      <right style="thin">
        <color indexed="64"/>
      </right>
      <top/>
      <bottom style="thick">
        <color rgb="FFFF0000"/>
      </bottom>
      <diagonal/>
    </border>
    <border>
      <left/>
      <right style="thick">
        <color rgb="FFFF0000"/>
      </right>
      <top/>
      <bottom/>
      <diagonal/>
    </border>
    <border>
      <left style="thick">
        <color rgb="FFFF0000"/>
      </left>
      <right/>
      <top/>
      <bottom style="thick">
        <color rgb="FFFF0000"/>
      </bottom>
      <diagonal/>
    </border>
    <border>
      <left/>
      <right style="thick">
        <color rgb="FFFF0000"/>
      </right>
      <top style="thick">
        <color rgb="FFFF0000"/>
      </top>
      <bottom/>
      <diagonal/>
    </border>
    <border>
      <left/>
      <right style="thick">
        <color rgb="FFFF0000"/>
      </right>
      <top/>
      <bottom style="thick">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rgb="FF000000"/>
      </bottom>
      <diagonal/>
    </border>
    <border>
      <left style="medium">
        <color rgb="FFC00000"/>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style="medium">
        <color rgb="FFC00000"/>
      </right>
      <top/>
      <bottom style="medium">
        <color rgb="FFC00000"/>
      </bottom>
      <diagonal/>
    </border>
    <border>
      <left style="thin">
        <color rgb="FFC00000"/>
      </left>
      <right style="thin">
        <color rgb="FFC00000"/>
      </right>
      <top style="thin">
        <color rgb="FFC00000"/>
      </top>
      <bottom style="thin">
        <color rgb="FFC00000"/>
      </bottom>
      <diagonal/>
    </border>
    <border>
      <left style="medium">
        <color rgb="FFC00000"/>
      </left>
      <right style="thin">
        <color rgb="FFC00000"/>
      </right>
      <top style="medium">
        <color rgb="FFC00000"/>
      </top>
      <bottom style="thin">
        <color rgb="FFC00000"/>
      </bottom>
      <diagonal/>
    </border>
    <border>
      <left style="thin">
        <color rgb="FFC00000"/>
      </left>
      <right style="thin">
        <color rgb="FFC00000"/>
      </right>
      <top style="medium">
        <color rgb="FFC00000"/>
      </top>
      <bottom style="thin">
        <color rgb="FFC00000"/>
      </bottom>
      <diagonal/>
    </border>
    <border>
      <left style="thin">
        <color rgb="FFC00000"/>
      </left>
      <right style="medium">
        <color rgb="FFC00000"/>
      </right>
      <top style="medium">
        <color rgb="FFC00000"/>
      </top>
      <bottom style="thin">
        <color rgb="FFC00000"/>
      </bottom>
      <diagonal/>
    </border>
    <border>
      <left style="medium">
        <color rgb="FFC00000"/>
      </left>
      <right style="thin">
        <color rgb="FFC00000"/>
      </right>
      <top style="thin">
        <color rgb="FFC00000"/>
      </top>
      <bottom style="thin">
        <color rgb="FFC00000"/>
      </bottom>
      <diagonal/>
    </border>
    <border>
      <left style="thin">
        <color rgb="FFC00000"/>
      </left>
      <right style="medium">
        <color rgb="FFC00000"/>
      </right>
      <top style="thin">
        <color rgb="FFC00000"/>
      </top>
      <bottom style="thin">
        <color rgb="FFC00000"/>
      </bottom>
      <diagonal/>
    </border>
    <border>
      <left style="medium">
        <color rgb="FFC00000"/>
      </left>
      <right style="thin">
        <color rgb="FFC00000"/>
      </right>
      <top style="thin">
        <color rgb="FFC00000"/>
      </top>
      <bottom style="medium">
        <color rgb="FFC00000"/>
      </bottom>
      <diagonal/>
    </border>
    <border>
      <left style="thin">
        <color rgb="FFC00000"/>
      </left>
      <right style="thin">
        <color rgb="FFC00000"/>
      </right>
      <top style="thin">
        <color rgb="FFC00000"/>
      </top>
      <bottom style="medium">
        <color rgb="FFC00000"/>
      </bottom>
      <diagonal/>
    </border>
    <border>
      <left style="thin">
        <color rgb="FFC00000"/>
      </left>
      <right style="medium">
        <color rgb="FFC00000"/>
      </right>
      <top style="thin">
        <color rgb="FFC00000"/>
      </top>
      <bottom style="medium">
        <color rgb="FFC00000"/>
      </bottom>
      <diagonal/>
    </border>
    <border>
      <left style="thin">
        <color theme="0"/>
      </left>
      <right style="thin">
        <color rgb="FFC00000"/>
      </right>
      <top style="medium">
        <color rgb="FFC00000"/>
      </top>
      <bottom style="thin">
        <color rgb="FFC00000"/>
      </bottom>
      <diagonal/>
    </border>
    <border>
      <left style="thin">
        <color rgb="FFC00000"/>
      </left>
      <right/>
      <top style="medium">
        <color rgb="FFC00000"/>
      </top>
      <bottom style="thin">
        <color rgb="FFC00000"/>
      </bottom>
      <diagonal/>
    </border>
    <border>
      <left style="thin">
        <color theme="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style="thin">
        <color theme="0"/>
      </left>
      <right/>
      <top style="medium">
        <color rgb="FFC00000"/>
      </top>
      <bottom style="thin">
        <color rgb="FFC00000"/>
      </bottom>
      <diagonal/>
    </border>
    <border>
      <left/>
      <right/>
      <top style="medium">
        <color rgb="FFC00000"/>
      </top>
      <bottom style="thin">
        <color rgb="FFC0000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3" tint="9.9948118533890809E-2"/>
      </bottom>
      <diagonal/>
    </border>
    <border>
      <left style="thin">
        <color theme="2" tint="-9.9978637043366805E-2"/>
      </left>
      <right style="thin">
        <color theme="2" tint="-9.9978637043366805E-2"/>
      </right>
      <top style="thin">
        <color theme="3" tint="9.9948118533890809E-2"/>
      </top>
      <bottom style="thin">
        <color theme="3" tint="9.9948118533890809E-2"/>
      </bottom>
      <diagonal/>
    </border>
  </borders>
  <cellStyleXfs count="12">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6" fillId="2" borderId="2" applyNumberFormat="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11" fillId="0" borderId="0" applyNumberFormat="0" applyFill="0" applyBorder="0" applyAlignment="0" applyProtection="0"/>
    <xf numFmtId="0" fontId="16" fillId="0" borderId="0" applyNumberFormat="0" applyFill="0" applyBorder="0" applyAlignment="0" applyProtection="0"/>
  </cellStyleXfs>
  <cellXfs count="251">
    <xf numFmtId="0" fontId="0" fillId="0" borderId="0" xfId="0"/>
    <xf numFmtId="0" fontId="0" fillId="0" borderId="0" xfId="0" applyAlignment="1">
      <alignment horizontal="center"/>
    </xf>
    <xf numFmtId="0" fontId="8" fillId="8" borderId="16" xfId="4" applyFont="1" applyFill="1" applyBorder="1" applyAlignment="1">
      <alignment vertical="top" wrapText="1"/>
    </xf>
    <xf numFmtId="0" fontId="8" fillId="8" borderId="7" xfId="4" applyFont="1" applyFill="1" applyBorder="1" applyAlignment="1">
      <alignment vertical="top" wrapText="1"/>
    </xf>
    <xf numFmtId="0" fontId="8" fillId="8" borderId="16" xfId="4" applyFont="1" applyFill="1" applyBorder="1" applyAlignment="1">
      <alignment horizontal="center" vertical="top" wrapText="1"/>
    </xf>
    <xf numFmtId="2" fontId="2" fillId="7" borderId="13" xfId="4" applyNumberFormat="1" applyFill="1" applyBorder="1" applyProtection="1">
      <protection locked="0"/>
    </xf>
    <xf numFmtId="10" fontId="2" fillId="7" borderId="11" xfId="3" applyNumberFormat="1" applyFont="1" applyFill="1" applyBorder="1"/>
    <xf numFmtId="4" fontId="2" fillId="7" borderId="0" xfId="1" applyNumberFormat="1" applyFont="1" applyFill="1" applyBorder="1"/>
    <xf numFmtId="10" fontId="2" fillId="7" borderId="13" xfId="3" applyNumberFormat="1" applyFont="1" applyFill="1" applyBorder="1"/>
    <xf numFmtId="14" fontId="2" fillId="7" borderId="17" xfId="4" applyNumberFormat="1" applyFill="1" applyBorder="1"/>
    <xf numFmtId="0" fontId="2" fillId="7" borderId="17" xfId="4" applyFill="1" applyBorder="1" applyAlignment="1">
      <alignment horizontal="center"/>
    </xf>
    <xf numFmtId="166" fontId="2" fillId="7" borderId="17" xfId="4" applyNumberFormat="1" applyFill="1" applyBorder="1"/>
    <xf numFmtId="167" fontId="2" fillId="7" borderId="17" xfId="1" applyNumberFormat="1" applyFont="1" applyFill="1" applyBorder="1"/>
    <xf numFmtId="168" fontId="2" fillId="7" borderId="18" xfId="1" applyNumberFormat="1" applyFont="1" applyFill="1" applyBorder="1"/>
    <xf numFmtId="4" fontId="2" fillId="7" borderId="17" xfId="1" applyNumberFormat="1" applyFont="1" applyFill="1" applyBorder="1"/>
    <xf numFmtId="0" fontId="9" fillId="7" borderId="0" xfId="6" applyFont="1" applyFill="1"/>
    <xf numFmtId="0" fontId="7" fillId="7" borderId="0" xfId="6" applyFont="1" applyFill="1"/>
    <xf numFmtId="0" fontId="7" fillId="8" borderId="3" xfId="6" applyFont="1" applyFill="1" applyBorder="1"/>
    <xf numFmtId="0" fontId="7" fillId="8" borderId="7" xfId="6" applyFont="1" applyFill="1" applyBorder="1"/>
    <xf numFmtId="0" fontId="4" fillId="0" borderId="0" xfId="6"/>
    <xf numFmtId="0" fontId="1" fillId="7" borderId="0" xfId="4" applyFont="1" applyFill="1"/>
    <xf numFmtId="0" fontId="10" fillId="8" borderId="3" xfId="4" applyFont="1" applyFill="1" applyBorder="1"/>
    <xf numFmtId="0" fontId="10" fillId="8" borderId="16" xfId="4" applyFont="1" applyFill="1" applyBorder="1"/>
    <xf numFmtId="0" fontId="10" fillId="8" borderId="7" xfId="4" applyFont="1" applyFill="1" applyBorder="1"/>
    <xf numFmtId="0" fontId="7" fillId="7" borderId="9" xfId="6" applyFont="1" applyFill="1" applyBorder="1"/>
    <xf numFmtId="0" fontId="7" fillId="7" borderId="10" xfId="6" applyFont="1" applyFill="1" applyBorder="1"/>
    <xf numFmtId="14" fontId="7" fillId="7" borderId="12" xfId="6" applyNumberFormat="1" applyFont="1" applyFill="1" applyBorder="1"/>
    <xf numFmtId="14" fontId="7" fillId="7" borderId="11" xfId="6" applyNumberFormat="1" applyFont="1" applyFill="1" applyBorder="1"/>
    <xf numFmtId="0" fontId="7" fillId="7" borderId="0" xfId="6" applyFont="1" applyFill="1" applyAlignment="1">
      <alignment horizontal="center"/>
    </xf>
    <xf numFmtId="14" fontId="7" fillId="7" borderId="9" xfId="6" applyNumberFormat="1" applyFont="1" applyFill="1" applyBorder="1"/>
    <xf numFmtId="1" fontId="1" fillId="7" borderId="8" xfId="4" applyNumberFormat="1" applyFont="1" applyFill="1" applyBorder="1"/>
    <xf numFmtId="169" fontId="1" fillId="7" borderId="12" xfId="7" applyNumberFormat="1" applyFont="1" applyFill="1" applyBorder="1"/>
    <xf numFmtId="169" fontId="1" fillId="7" borderId="0" xfId="7" applyNumberFormat="1" applyFont="1" applyFill="1" applyBorder="1"/>
    <xf numFmtId="10" fontId="7" fillId="7" borderId="11" xfId="6" applyNumberFormat="1" applyFont="1" applyFill="1" applyBorder="1"/>
    <xf numFmtId="0" fontId="7" fillId="7" borderId="12" xfId="6" applyFont="1" applyFill="1" applyBorder="1"/>
    <xf numFmtId="14" fontId="7" fillId="7" borderId="13" xfId="6" applyNumberFormat="1" applyFont="1" applyFill="1" applyBorder="1"/>
    <xf numFmtId="14" fontId="7" fillId="7" borderId="0" xfId="6" applyNumberFormat="1" applyFont="1" applyFill="1"/>
    <xf numFmtId="1" fontId="1" fillId="7" borderId="5" xfId="4" applyNumberFormat="1" applyFont="1" applyFill="1" applyBorder="1"/>
    <xf numFmtId="169" fontId="1" fillId="7" borderId="6" xfId="7" applyNumberFormat="1" applyFont="1" applyFill="1" applyBorder="1"/>
    <xf numFmtId="169" fontId="1" fillId="7" borderId="14" xfId="7" applyNumberFormat="1" applyFont="1" applyFill="1" applyBorder="1"/>
    <xf numFmtId="10" fontId="7" fillId="7" borderId="4" xfId="6" applyNumberFormat="1" applyFont="1" applyFill="1" applyBorder="1"/>
    <xf numFmtId="0" fontId="10" fillId="8" borderId="9" xfId="4" applyFont="1" applyFill="1" applyBorder="1"/>
    <xf numFmtId="0" fontId="10" fillId="8" borderId="10" xfId="4" applyFont="1" applyFill="1" applyBorder="1"/>
    <xf numFmtId="0" fontId="10" fillId="8" borderId="11" xfId="4" applyFont="1" applyFill="1" applyBorder="1"/>
    <xf numFmtId="44" fontId="7" fillId="7" borderId="0" xfId="8" applyFont="1" applyFill="1" applyBorder="1"/>
    <xf numFmtId="170" fontId="7" fillId="7" borderId="0" xfId="9" applyNumberFormat="1" applyFont="1" applyFill="1" applyBorder="1"/>
    <xf numFmtId="170" fontId="7" fillId="7" borderId="0" xfId="6" applyNumberFormat="1" applyFont="1" applyFill="1"/>
    <xf numFmtId="0" fontId="7" fillId="7" borderId="13" xfId="6" applyFont="1" applyFill="1" applyBorder="1"/>
    <xf numFmtId="0" fontId="11" fillId="0" borderId="0" xfId="10"/>
    <xf numFmtId="0" fontId="7" fillId="7" borderId="6" xfId="6" applyFont="1" applyFill="1" applyBorder="1"/>
    <xf numFmtId="0" fontId="7" fillId="7" borderId="14" xfId="6" applyFont="1" applyFill="1" applyBorder="1"/>
    <xf numFmtId="44" fontId="7" fillId="7" borderId="14" xfId="8" applyFont="1" applyFill="1" applyBorder="1"/>
    <xf numFmtId="170" fontId="7" fillId="7" borderId="14" xfId="9" applyNumberFormat="1" applyFont="1" applyFill="1" applyBorder="1"/>
    <xf numFmtId="170" fontId="7" fillId="7" borderId="14" xfId="6" applyNumberFormat="1" applyFont="1" applyFill="1" applyBorder="1"/>
    <xf numFmtId="0" fontId="7" fillId="7" borderId="4" xfId="6" applyFont="1" applyFill="1" applyBorder="1"/>
    <xf numFmtId="14" fontId="7" fillId="7" borderId="6" xfId="6" applyNumberFormat="1" applyFont="1" applyFill="1" applyBorder="1"/>
    <xf numFmtId="14" fontId="7" fillId="7" borderId="4" xfId="6" applyNumberFormat="1" applyFont="1" applyFill="1" applyBorder="1"/>
    <xf numFmtId="164" fontId="0" fillId="5" borderId="0" xfId="0" applyNumberFormat="1" applyFill="1" applyAlignment="1">
      <alignment horizontal="center"/>
    </xf>
    <xf numFmtId="2" fontId="0" fillId="5" borderId="0" xfId="0" applyNumberFormat="1" applyFill="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0" fontId="8" fillId="8" borderId="7" xfId="4" applyFont="1" applyFill="1" applyBorder="1" applyAlignment="1">
      <alignment horizontal="center" vertical="top" wrapText="1"/>
    </xf>
    <xf numFmtId="168" fontId="2" fillId="7" borderId="13" xfId="1" applyNumberFormat="1" applyFont="1" applyFill="1" applyBorder="1" applyAlignment="1">
      <alignment horizontal="center"/>
    </xf>
    <xf numFmtId="44" fontId="2" fillId="7" borderId="0" xfId="2" applyFont="1" applyFill="1" applyBorder="1"/>
    <xf numFmtId="0" fontId="8" fillId="8" borderId="0" xfId="4" applyFont="1" applyFill="1" applyAlignment="1">
      <alignment vertical="top" wrapText="1"/>
    </xf>
    <xf numFmtId="0" fontId="0" fillId="7" borderId="0" xfId="0" applyFill="1"/>
    <xf numFmtId="0" fontId="5" fillId="10" borderId="0" xfId="0" applyFont="1" applyFill="1"/>
    <xf numFmtId="4" fontId="0" fillId="9" borderId="0" xfId="0" applyNumberFormat="1" applyFill="1"/>
    <xf numFmtId="4" fontId="5" fillId="9" borderId="0" xfId="0" applyNumberFormat="1" applyFont="1" applyFill="1" applyAlignment="1">
      <alignment horizontal="right" vertical="top" wrapText="1"/>
    </xf>
    <xf numFmtId="14" fontId="2" fillId="7" borderId="0" xfId="4" applyNumberFormat="1" applyFill="1"/>
    <xf numFmtId="44" fontId="0" fillId="9" borderId="0" xfId="2" applyFont="1" applyFill="1" applyBorder="1"/>
    <xf numFmtId="0" fontId="2" fillId="7" borderId="0" xfId="4" applyFill="1" applyAlignment="1">
      <alignment horizontal="center"/>
    </xf>
    <xf numFmtId="166" fontId="2" fillId="7" borderId="0" xfId="4" applyNumberFormat="1" applyFill="1" applyAlignment="1">
      <alignment horizontal="center"/>
    </xf>
    <xf numFmtId="167" fontId="2" fillId="7" borderId="0" xfId="1" applyNumberFormat="1" applyFont="1" applyFill="1" applyBorder="1" applyAlignment="1">
      <alignment horizontal="center"/>
    </xf>
    <xf numFmtId="0" fontId="0" fillId="0" borderId="19" xfId="0" applyBorder="1"/>
    <xf numFmtId="0" fontId="0" fillId="0" borderId="20" xfId="0" applyBorder="1" applyAlignment="1">
      <alignment horizontal="center"/>
    </xf>
    <xf numFmtId="0" fontId="3" fillId="3" borderId="0" xfId="0" applyFont="1" applyFill="1" applyAlignment="1">
      <alignment horizontal="right"/>
    </xf>
    <xf numFmtId="0" fontId="0" fillId="7" borderId="0" xfId="0" applyFill="1" applyAlignment="1">
      <alignment horizontal="center"/>
    </xf>
    <xf numFmtId="164" fontId="0" fillId="7" borderId="0" xfId="0" applyNumberFormat="1" applyFill="1" applyAlignment="1">
      <alignment horizontal="center"/>
    </xf>
    <xf numFmtId="1" fontId="0" fillId="7" borderId="0" xfId="0" applyNumberFormat="1" applyFill="1" applyAlignment="1">
      <alignment horizontal="center"/>
    </xf>
    <xf numFmtId="165" fontId="0" fillId="4" borderId="0" xfId="0" applyNumberFormat="1" applyFill="1" applyAlignment="1">
      <alignment horizontal="center"/>
    </xf>
    <xf numFmtId="44" fontId="0" fillId="4" borderId="0" xfId="2" applyFont="1" applyFill="1" applyBorder="1" applyAlignment="1">
      <alignment horizontal="right" indent="1"/>
    </xf>
    <xf numFmtId="0" fontId="0" fillId="4" borderId="0" xfId="0" applyFill="1" applyAlignment="1">
      <alignment horizontal="center"/>
    </xf>
    <xf numFmtId="164" fontId="0" fillId="4" borderId="0" xfId="0" applyNumberFormat="1" applyFill="1" applyAlignment="1">
      <alignment horizontal="center"/>
    </xf>
    <xf numFmtId="14" fontId="7" fillId="4" borderId="0" xfId="5" applyNumberFormat="1" applyFont="1" applyFill="1" applyBorder="1" applyAlignment="1" applyProtection="1">
      <alignment horizontal="left"/>
      <protection locked="0"/>
    </xf>
    <xf numFmtId="14" fontId="7" fillId="0" borderId="0" xfId="5" applyNumberFormat="1" applyFont="1" applyFill="1" applyBorder="1" applyAlignment="1" applyProtection="1">
      <alignment horizontal="left"/>
      <protection locked="0"/>
    </xf>
    <xf numFmtId="44" fontId="12" fillId="11" borderId="0" xfId="2" applyFont="1" applyFill="1" applyBorder="1"/>
    <xf numFmtId="44" fontId="2" fillId="7" borderId="17" xfId="2" applyFont="1" applyFill="1" applyBorder="1"/>
    <xf numFmtId="44" fontId="12" fillId="11" borderId="17" xfId="2" applyFont="1" applyFill="1" applyBorder="1"/>
    <xf numFmtId="0" fontId="5" fillId="10" borderId="15" xfId="0" applyFont="1" applyFill="1" applyBorder="1"/>
    <xf numFmtId="0" fontId="0" fillId="0" borderId="17" xfId="0" applyBorder="1"/>
    <xf numFmtId="0" fontId="5" fillId="10" borderId="21" xfId="0" applyFont="1" applyFill="1" applyBorder="1"/>
    <xf numFmtId="0" fontId="8" fillId="8" borderId="19" xfId="4" applyFont="1" applyFill="1" applyBorder="1" applyAlignment="1">
      <alignment vertical="top" wrapText="1"/>
    </xf>
    <xf numFmtId="44" fontId="12" fillId="11" borderId="19" xfId="2" applyFont="1" applyFill="1" applyBorder="1"/>
    <xf numFmtId="44" fontId="12" fillId="11" borderId="22" xfId="2" applyFont="1" applyFill="1" applyBorder="1"/>
    <xf numFmtId="10" fontId="2" fillId="7" borderId="17" xfId="3" applyNumberFormat="1" applyFont="1" applyFill="1" applyBorder="1"/>
    <xf numFmtId="0" fontId="0" fillId="0" borderId="17" xfId="0" applyBorder="1" applyAlignment="1">
      <alignment horizontal="center"/>
    </xf>
    <xf numFmtId="4" fontId="0" fillId="9" borderId="17" xfId="0" applyNumberFormat="1" applyFill="1" applyBorder="1"/>
    <xf numFmtId="44" fontId="0" fillId="9" borderId="17" xfId="2" applyFont="1" applyFill="1" applyBorder="1"/>
    <xf numFmtId="2" fontId="2" fillId="7" borderId="17" xfId="4" applyNumberFormat="1" applyFill="1" applyBorder="1" applyProtection="1">
      <protection locked="0"/>
    </xf>
    <xf numFmtId="0" fontId="3" fillId="3" borderId="23" xfId="0" applyFont="1" applyFill="1" applyBorder="1" applyAlignment="1">
      <alignment horizontal="right"/>
    </xf>
    <xf numFmtId="0" fontId="3" fillId="3" borderId="24" xfId="0" applyFont="1" applyFill="1" applyBorder="1" applyAlignment="1">
      <alignment horizontal="center"/>
    </xf>
    <xf numFmtId="0" fontId="3" fillId="3" borderId="24" xfId="0" applyFont="1" applyFill="1" applyBorder="1" applyAlignment="1">
      <alignment horizontal="left"/>
    </xf>
    <xf numFmtId="0" fontId="3" fillId="6" borderId="25" xfId="0" applyFont="1" applyFill="1" applyBorder="1" applyAlignment="1">
      <alignment horizontal="left"/>
    </xf>
    <xf numFmtId="0" fontId="0" fillId="0" borderId="15" xfId="0" applyBorder="1" applyAlignment="1">
      <alignment horizontal="center"/>
    </xf>
    <xf numFmtId="44" fontId="0" fillId="7" borderId="26" xfId="2" applyFont="1" applyFill="1" applyBorder="1" applyAlignment="1">
      <alignment horizontal="right" indent="2"/>
    </xf>
    <xf numFmtId="0" fontId="0" fillId="0" borderId="27" xfId="0" applyBorder="1" applyAlignment="1">
      <alignment horizontal="center"/>
    </xf>
    <xf numFmtId="0" fontId="0" fillId="7" borderId="28" xfId="0" applyFill="1" applyBorder="1" applyAlignment="1">
      <alignment horizontal="center"/>
    </xf>
    <xf numFmtId="164" fontId="0" fillId="7" borderId="28" xfId="0" applyNumberFormat="1" applyFill="1" applyBorder="1" applyAlignment="1">
      <alignment horizontal="center"/>
    </xf>
    <xf numFmtId="1" fontId="0" fillId="7" borderId="28" xfId="0" applyNumberFormat="1" applyFill="1" applyBorder="1" applyAlignment="1">
      <alignment horizontal="center"/>
    </xf>
    <xf numFmtId="165" fontId="0" fillId="4" borderId="28" xfId="0" applyNumberFormat="1" applyFill="1" applyBorder="1" applyAlignment="1">
      <alignment horizontal="center"/>
    </xf>
    <xf numFmtId="44" fontId="0" fillId="4" borderId="28" xfId="2" applyFont="1" applyFill="1" applyBorder="1" applyAlignment="1">
      <alignment horizontal="right" indent="1"/>
    </xf>
    <xf numFmtId="44" fontId="0" fillId="7" borderId="29" xfId="2" applyFont="1" applyFill="1" applyBorder="1" applyAlignment="1">
      <alignment horizontal="right" indent="2"/>
    </xf>
    <xf numFmtId="0" fontId="0" fillId="0" borderId="0" xfId="0" applyAlignment="1">
      <alignment vertical="center"/>
    </xf>
    <xf numFmtId="0" fontId="3" fillId="6" borderId="1" xfId="0" applyFont="1" applyFill="1" applyBorder="1" applyAlignment="1">
      <alignment horizontal="left" vertical="center" wrapText="1"/>
    </xf>
    <xf numFmtId="0" fontId="3" fillId="12" borderId="0" xfId="6" applyFont="1" applyFill="1"/>
    <xf numFmtId="0" fontId="3" fillId="12" borderId="3" xfId="6" applyFont="1" applyFill="1" applyBorder="1"/>
    <xf numFmtId="0" fontId="3" fillId="12" borderId="16" xfId="6" applyFont="1" applyFill="1" applyBorder="1"/>
    <xf numFmtId="14" fontId="7" fillId="7" borderId="10" xfId="6" applyNumberFormat="1" applyFont="1" applyFill="1" applyBorder="1"/>
    <xf numFmtId="14" fontId="7" fillId="7" borderId="14" xfId="6" applyNumberFormat="1" applyFont="1" applyFill="1" applyBorder="1"/>
    <xf numFmtId="0" fontId="3" fillId="3" borderId="30" xfId="0" applyFont="1" applyFill="1" applyBorder="1" applyAlignment="1">
      <alignment horizontal="left" vertical="center" wrapText="1"/>
    </xf>
    <xf numFmtId="0" fontId="3" fillId="6" borderId="30" xfId="0" applyFont="1" applyFill="1" applyBorder="1" applyAlignment="1">
      <alignment horizontal="left" vertical="center" wrapText="1"/>
    </xf>
    <xf numFmtId="0" fontId="3" fillId="18" borderId="0" xfId="0" applyFont="1" applyFill="1" applyAlignment="1">
      <alignment horizontal="right" vertical="center"/>
    </xf>
    <xf numFmtId="0" fontId="3" fillId="18" borderId="1" xfId="0" applyFont="1" applyFill="1" applyBorder="1" applyAlignment="1">
      <alignment horizontal="center" vertical="center" wrapText="1"/>
    </xf>
    <xf numFmtId="0" fontId="3" fillId="18" borderId="1" xfId="0" applyFont="1" applyFill="1" applyBorder="1" applyAlignment="1">
      <alignment horizontal="left" vertical="center" wrapText="1"/>
    </xf>
    <xf numFmtId="0" fontId="0" fillId="0" borderId="33" xfId="0" applyBorder="1" applyAlignment="1">
      <alignment horizontal="left" vertical="center"/>
    </xf>
    <xf numFmtId="0" fontId="0" fillId="0" borderId="34" xfId="0" applyBorder="1" applyAlignment="1">
      <alignment horizontal="left" vertical="center"/>
    </xf>
    <xf numFmtId="0" fontId="0" fillId="0" borderId="33" xfId="0" applyBorder="1" applyAlignment="1">
      <alignment horizontal="left" vertical="top"/>
    </xf>
    <xf numFmtId="0" fontId="0" fillId="0" borderId="34" xfId="0" applyBorder="1" applyAlignment="1">
      <alignment horizontal="left" vertical="top"/>
    </xf>
    <xf numFmtId="0" fontId="0" fillId="0" borderId="35" xfId="0" applyBorder="1" applyAlignment="1">
      <alignment horizontal="left" vertical="center"/>
    </xf>
    <xf numFmtId="0" fontId="0" fillId="0" borderId="36" xfId="0" applyBorder="1" applyAlignment="1">
      <alignment horizontal="left" vertical="center"/>
    </xf>
    <xf numFmtId="0" fontId="14" fillId="4" borderId="1" xfId="0" applyFont="1" applyFill="1" applyBorder="1" applyAlignment="1">
      <alignment horizontal="center" vertical="center"/>
    </xf>
    <xf numFmtId="0" fontId="14" fillId="14" borderId="1" xfId="0" applyFont="1" applyFill="1" applyBorder="1" applyAlignment="1">
      <alignment horizontal="center" vertical="center"/>
    </xf>
    <xf numFmtId="164" fontId="14" fillId="5" borderId="1" xfId="0" applyNumberFormat="1" applyFont="1" applyFill="1" applyBorder="1" applyAlignment="1">
      <alignment horizontal="center" vertical="center"/>
    </xf>
    <xf numFmtId="164" fontId="14" fillId="14" borderId="1" xfId="0" applyNumberFormat="1" applyFont="1" applyFill="1" applyBorder="1" applyAlignment="1">
      <alignment horizontal="center" vertical="center"/>
    </xf>
    <xf numFmtId="14" fontId="15" fillId="14" borderId="1" xfId="5" applyNumberFormat="1" applyFont="1" applyFill="1" applyBorder="1" applyAlignment="1" applyProtection="1">
      <alignment horizontal="center" vertical="center"/>
      <protection locked="0"/>
    </xf>
    <xf numFmtId="2" fontId="14" fillId="5" borderId="1" xfId="0" applyNumberFormat="1" applyFont="1" applyFill="1" applyBorder="1" applyAlignment="1">
      <alignment horizontal="center" vertical="center"/>
    </xf>
    <xf numFmtId="164" fontId="14" fillId="17" borderId="1" xfId="0" applyNumberFormat="1" applyFont="1" applyFill="1" applyBorder="1" applyAlignment="1">
      <alignment horizontal="center" vertical="center"/>
    </xf>
    <xf numFmtId="165" fontId="12" fillId="14" borderId="1" xfId="0" applyNumberFormat="1" applyFont="1" applyFill="1" applyBorder="1" applyAlignment="1">
      <alignment horizontal="center" vertical="center"/>
    </xf>
    <xf numFmtId="172" fontId="12" fillId="14" borderId="1" xfId="0" applyNumberFormat="1" applyFont="1" applyFill="1" applyBorder="1" applyAlignment="1">
      <alignment horizontal="right" vertical="center" indent="1"/>
    </xf>
    <xf numFmtId="171" fontId="12" fillId="14" borderId="1" xfId="2" applyNumberFormat="1" applyFont="1" applyFill="1" applyBorder="1" applyAlignment="1">
      <alignment horizontal="right" vertical="center" indent="1"/>
    </xf>
    <xf numFmtId="165" fontId="12" fillId="4" borderId="1" xfId="0" applyNumberFormat="1" applyFont="1" applyFill="1" applyBorder="1" applyAlignment="1">
      <alignment horizontal="center" vertical="center"/>
    </xf>
    <xf numFmtId="172" fontId="12" fillId="4" borderId="1" xfId="0" applyNumberFormat="1" applyFont="1" applyFill="1" applyBorder="1" applyAlignment="1">
      <alignment horizontal="right" vertical="center" indent="1"/>
    </xf>
    <xf numFmtId="171" fontId="12" fillId="4" borderId="1" xfId="2" applyNumberFormat="1" applyFont="1" applyFill="1" applyBorder="1" applyAlignment="1">
      <alignment horizontal="right" vertical="center" indent="1"/>
    </xf>
    <xf numFmtId="0" fontId="1" fillId="13" borderId="1" xfId="0" applyFont="1" applyFill="1" applyBorder="1" applyAlignment="1">
      <alignment horizontal="center" vertical="center"/>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1" fontId="1" fillId="0" borderId="1" xfId="0" applyNumberFormat="1" applyFont="1" applyBorder="1" applyAlignment="1">
      <alignment horizontal="center" vertical="center"/>
    </xf>
    <xf numFmtId="0" fontId="8" fillId="8" borderId="37" xfId="4" applyFont="1" applyFill="1" applyBorder="1" applyAlignment="1">
      <alignment horizontal="center" vertical="center" wrapText="1"/>
    </xf>
    <xf numFmtId="0" fontId="8" fillId="8" borderId="37" xfId="4" applyFont="1" applyFill="1" applyBorder="1" applyAlignment="1">
      <alignment vertical="center" wrapText="1"/>
    </xf>
    <xf numFmtId="0" fontId="2" fillId="7" borderId="37" xfId="4" applyFill="1" applyBorder="1" applyAlignment="1">
      <alignment horizontal="center" vertical="center"/>
    </xf>
    <xf numFmtId="164" fontId="2" fillId="7" borderId="37" xfId="4" applyNumberFormat="1" applyFill="1" applyBorder="1" applyAlignment="1">
      <alignment horizontal="center" vertical="center"/>
    </xf>
    <xf numFmtId="2" fontId="2" fillId="7" borderId="37" xfId="4" applyNumberFormat="1" applyFill="1" applyBorder="1" applyAlignment="1" applyProtection="1">
      <alignment horizontal="right" vertical="center" indent="1"/>
      <protection locked="0"/>
    </xf>
    <xf numFmtId="173" fontId="2" fillId="7" borderId="37" xfId="4" applyNumberFormat="1" applyFill="1" applyBorder="1" applyAlignment="1">
      <alignment horizontal="center" vertical="center"/>
    </xf>
    <xf numFmtId="174" fontId="2" fillId="7" borderId="37" xfId="1" applyNumberFormat="1" applyFont="1" applyFill="1" applyBorder="1" applyAlignment="1">
      <alignment horizontal="center" vertical="center"/>
    </xf>
    <xf numFmtId="2" fontId="2" fillId="7" borderId="37" xfId="1" applyNumberFormat="1" applyFont="1" applyFill="1" applyBorder="1" applyAlignment="1">
      <alignment horizontal="right" vertical="center" indent="1"/>
    </xf>
    <xf numFmtId="171" fontId="2" fillId="7" borderId="37" xfId="2" applyNumberFormat="1" applyFont="1" applyFill="1" applyBorder="1" applyAlignment="1">
      <alignment horizontal="right" vertical="center" indent="1"/>
    </xf>
    <xf numFmtId="4" fontId="2" fillId="7" borderId="37" xfId="1" applyNumberFormat="1" applyFont="1" applyFill="1" applyBorder="1" applyAlignment="1">
      <alignment horizontal="right" vertical="center" indent="1"/>
    </xf>
    <xf numFmtId="175" fontId="2" fillId="7" borderId="37" xfId="3" applyNumberFormat="1" applyFont="1" applyFill="1" applyBorder="1" applyAlignment="1">
      <alignment horizontal="right" vertical="center" indent="1"/>
    </xf>
    <xf numFmtId="171" fontId="2" fillId="7" borderId="37" xfId="1" applyNumberFormat="1" applyFont="1" applyFill="1" applyBorder="1" applyAlignment="1">
      <alignment horizontal="right" vertical="center" indent="1"/>
    </xf>
    <xf numFmtId="8" fontId="2" fillId="7" borderId="37" xfId="2" applyNumberFormat="1" applyFont="1" applyFill="1" applyBorder="1" applyAlignment="1">
      <alignment horizontal="right" vertical="center" indent="1"/>
    </xf>
    <xf numFmtId="8" fontId="12" fillId="11" borderId="37" xfId="2" applyNumberFormat="1" applyFont="1" applyFill="1" applyBorder="1" applyAlignment="1">
      <alignment horizontal="right" vertical="center" indent="1"/>
    </xf>
    <xf numFmtId="0" fontId="8" fillId="8" borderId="42" xfId="4" applyFont="1" applyFill="1" applyBorder="1" applyAlignment="1">
      <alignment vertical="center" wrapText="1"/>
    </xf>
    <xf numFmtId="0" fontId="0" fillId="0" borderId="41" xfId="0" applyBorder="1" applyAlignment="1">
      <alignment horizontal="center" vertical="center"/>
    </xf>
    <xf numFmtId="8" fontId="12" fillId="11" borderId="42" xfId="2" applyNumberFormat="1" applyFont="1" applyFill="1" applyBorder="1" applyAlignment="1">
      <alignment horizontal="right" vertical="center" indent="1"/>
    </xf>
    <xf numFmtId="0" fontId="0" fillId="0" borderId="43" xfId="0" applyBorder="1" applyAlignment="1">
      <alignment horizontal="center" vertical="center"/>
    </xf>
    <xf numFmtId="0" fontId="2" fillId="7" borderId="44" xfId="4" applyFill="1" applyBorder="1" applyAlignment="1">
      <alignment horizontal="center" vertical="center"/>
    </xf>
    <xf numFmtId="164" fontId="2" fillId="7" borderId="44" xfId="4" applyNumberFormat="1" applyFill="1" applyBorder="1" applyAlignment="1">
      <alignment horizontal="center" vertical="center"/>
    </xf>
    <xf numFmtId="2" fontId="2" fillId="7" borderId="44" xfId="4" applyNumberFormat="1" applyFill="1" applyBorder="1" applyAlignment="1" applyProtection="1">
      <alignment horizontal="right" vertical="center" indent="1"/>
      <protection locked="0"/>
    </xf>
    <xf numFmtId="173" fontId="2" fillId="7" borderId="44" xfId="4" applyNumberFormat="1" applyFill="1" applyBorder="1" applyAlignment="1">
      <alignment horizontal="center" vertical="center"/>
    </xf>
    <xf numFmtId="2" fontId="2" fillId="7" borderId="44" xfId="1" applyNumberFormat="1" applyFont="1" applyFill="1" applyBorder="1" applyAlignment="1">
      <alignment horizontal="right" vertical="center" indent="1"/>
    </xf>
    <xf numFmtId="171" fontId="2" fillId="7" borderId="44" xfId="2" applyNumberFormat="1" applyFont="1" applyFill="1" applyBorder="1" applyAlignment="1">
      <alignment horizontal="right" vertical="center" indent="1"/>
    </xf>
    <xf numFmtId="4" fontId="2" fillId="7" borderId="44" xfId="1" applyNumberFormat="1" applyFont="1" applyFill="1" applyBorder="1" applyAlignment="1">
      <alignment horizontal="right" vertical="center" indent="1"/>
    </xf>
    <xf numFmtId="171" fontId="2" fillId="7" borderId="44" xfId="1" applyNumberFormat="1" applyFont="1" applyFill="1" applyBorder="1" applyAlignment="1">
      <alignment horizontal="right" vertical="center" indent="1"/>
    </xf>
    <xf numFmtId="8" fontId="2" fillId="7" borderId="44" xfId="2" applyNumberFormat="1" applyFont="1" applyFill="1" applyBorder="1" applyAlignment="1">
      <alignment horizontal="right" vertical="center" indent="1"/>
    </xf>
    <xf numFmtId="8" fontId="12" fillId="11" borderId="44" xfId="2" applyNumberFormat="1" applyFont="1" applyFill="1" applyBorder="1" applyAlignment="1">
      <alignment horizontal="right" vertical="center" indent="1"/>
    </xf>
    <xf numFmtId="8" fontId="12" fillId="11" borderId="45" xfId="2" applyNumberFormat="1" applyFont="1" applyFill="1" applyBorder="1" applyAlignment="1">
      <alignment horizontal="right" vertical="center" indent="1"/>
    </xf>
    <xf numFmtId="0" fontId="0" fillId="6" borderId="38" xfId="0" applyFill="1" applyBorder="1"/>
    <xf numFmtId="0" fontId="0" fillId="6" borderId="39" xfId="0" applyFill="1" applyBorder="1" applyAlignment="1">
      <alignment horizontal="center"/>
    </xf>
    <xf numFmtId="0" fontId="13" fillId="6" borderId="39" xfId="0" applyFont="1" applyFill="1" applyBorder="1"/>
    <xf numFmtId="0" fontId="13" fillId="6" borderId="39" xfId="0" applyFont="1" applyFill="1" applyBorder="1" applyAlignment="1">
      <alignment horizontal="center"/>
    </xf>
    <xf numFmtId="0" fontId="3" fillId="6" borderId="39" xfId="0" applyFont="1" applyFill="1" applyBorder="1"/>
    <xf numFmtId="0" fontId="3" fillId="6" borderId="40" xfId="0" applyFont="1" applyFill="1" applyBorder="1"/>
    <xf numFmtId="174" fontId="2" fillId="7" borderId="44" xfId="1" applyNumberFormat="1" applyFont="1" applyFill="1" applyBorder="1" applyAlignment="1">
      <alignment horizontal="center" vertical="center"/>
    </xf>
    <xf numFmtId="8" fontId="0" fillId="0" borderId="1" xfId="2" applyNumberFormat="1" applyFont="1" applyFill="1" applyBorder="1" applyAlignment="1">
      <alignment horizontal="right" vertical="center" indent="1"/>
    </xf>
    <xf numFmtId="176" fontId="0" fillId="0" borderId="5" xfId="2" applyNumberFormat="1" applyFont="1" applyFill="1" applyBorder="1" applyAlignment="1">
      <alignment horizontal="right" vertical="center" indent="1"/>
    </xf>
    <xf numFmtId="176" fontId="0" fillId="0" borderId="1" xfId="2" applyNumberFormat="1" applyFont="1" applyFill="1" applyBorder="1" applyAlignment="1">
      <alignment horizontal="right" vertical="center" indent="1"/>
    </xf>
    <xf numFmtId="176" fontId="0" fillId="0" borderId="8" xfId="2" applyNumberFormat="1" applyFont="1" applyFill="1" applyBorder="1" applyAlignment="1">
      <alignment horizontal="right" vertical="center" indent="1"/>
    </xf>
    <xf numFmtId="176" fontId="0" fillId="16" borderId="37" xfId="0" applyNumberFormat="1" applyFill="1" applyBorder="1" applyAlignment="1">
      <alignment horizontal="right" vertical="center" indent="1"/>
    </xf>
    <xf numFmtId="176" fontId="0" fillId="0" borderId="37" xfId="0" applyNumberFormat="1" applyBorder="1" applyAlignment="1">
      <alignment horizontal="right" vertical="center" indent="1"/>
    </xf>
    <xf numFmtId="176" fontId="0" fillId="16" borderId="44" xfId="0" applyNumberFormat="1" applyFill="1" applyBorder="1" applyAlignment="1">
      <alignment horizontal="right" vertical="center" indent="1"/>
    </xf>
    <xf numFmtId="8" fontId="0" fillId="16" borderId="37" xfId="2" applyNumberFormat="1" applyFont="1" applyFill="1" applyBorder="1" applyAlignment="1">
      <alignment horizontal="right" vertical="center" indent="1"/>
    </xf>
    <xf numFmtId="8" fontId="0" fillId="0" borderId="37" xfId="2" applyNumberFormat="1" applyFont="1" applyFill="1" applyBorder="1" applyAlignment="1">
      <alignment horizontal="right" vertical="center" indent="1"/>
    </xf>
    <xf numFmtId="8" fontId="0" fillId="16" borderId="44" xfId="2" applyNumberFormat="1" applyFont="1" applyFill="1" applyBorder="1" applyAlignment="1">
      <alignment horizontal="right" vertical="center" indent="1"/>
    </xf>
    <xf numFmtId="4" fontId="3" fillId="15" borderId="49" xfId="0" applyNumberFormat="1" applyFont="1" applyFill="1" applyBorder="1" applyAlignment="1">
      <alignment horizontal="center" vertical="center" wrapText="1"/>
    </xf>
    <xf numFmtId="4" fontId="3" fillId="15" borderId="48" xfId="0" applyNumberFormat="1" applyFont="1" applyFill="1" applyBorder="1" applyAlignment="1">
      <alignment horizontal="center" vertical="center" wrapText="1"/>
    </xf>
    <xf numFmtId="0" fontId="13" fillId="6" borderId="46" xfId="0" applyFont="1" applyFill="1" applyBorder="1"/>
    <xf numFmtId="0" fontId="8" fillId="8" borderId="48" xfId="4" applyFont="1" applyFill="1" applyBorder="1" applyAlignment="1">
      <alignment vertical="center" wrapText="1"/>
    </xf>
    <xf numFmtId="0" fontId="8" fillId="8" borderId="49" xfId="4" applyFont="1" applyFill="1" applyBorder="1" applyAlignment="1">
      <alignment horizontal="center" vertical="center" wrapText="1"/>
    </xf>
    <xf numFmtId="0" fontId="3" fillId="6" borderId="51" xfId="0" applyFont="1" applyFill="1" applyBorder="1"/>
    <xf numFmtId="0" fontId="0" fillId="18" borderId="0" xfId="0" applyFill="1" applyAlignment="1">
      <alignment vertical="center"/>
    </xf>
    <xf numFmtId="0" fontId="0" fillId="18" borderId="0" xfId="0" applyFill="1" applyAlignment="1">
      <alignment horizontal="center" vertical="center"/>
    </xf>
    <xf numFmtId="164" fontId="0" fillId="18" borderId="0" xfId="0" applyNumberFormat="1" applyFill="1" applyAlignment="1">
      <alignment horizontal="center" vertical="center"/>
    </xf>
    <xf numFmtId="14" fontId="7" fillId="18" borderId="0" xfId="5" applyNumberFormat="1" applyFont="1" applyFill="1" applyBorder="1" applyAlignment="1" applyProtection="1">
      <alignment horizontal="left" vertical="center"/>
      <protection locked="0"/>
    </xf>
    <xf numFmtId="2" fontId="0" fillId="18" borderId="0" xfId="0" applyNumberFormat="1" applyFill="1" applyAlignment="1">
      <alignment horizontal="center" vertical="center"/>
    </xf>
    <xf numFmtId="0" fontId="0" fillId="18" borderId="0" xfId="0" applyFill="1"/>
    <xf numFmtId="0" fontId="0" fillId="18" borderId="0" xfId="0" applyFill="1" applyAlignment="1">
      <alignment horizontal="center"/>
    </xf>
    <xf numFmtId="0" fontId="3" fillId="6" borderId="50" xfId="0" quotePrefix="1" applyFont="1" applyFill="1" applyBorder="1"/>
    <xf numFmtId="4" fontId="3" fillId="15" borderId="47" xfId="0" applyNumberFormat="1" applyFont="1" applyFill="1" applyBorder="1" applyAlignment="1">
      <alignment horizontal="right"/>
    </xf>
    <xf numFmtId="4" fontId="3" fillId="15" borderId="51" xfId="0" applyNumberFormat="1" applyFont="1" applyFill="1" applyBorder="1" applyAlignment="1">
      <alignment horizontal="right"/>
    </xf>
    <xf numFmtId="0" fontId="3" fillId="6" borderId="1" xfId="0" applyFont="1" applyFill="1" applyBorder="1" applyAlignment="1">
      <alignment horizontal="center" vertical="center" wrapText="1"/>
    </xf>
    <xf numFmtId="0" fontId="3" fillId="6" borderId="30" xfId="0" applyFont="1" applyFill="1" applyBorder="1" applyAlignment="1">
      <alignment horizontal="center" vertical="center" wrapText="1"/>
    </xf>
    <xf numFmtId="0" fontId="0" fillId="0" borderId="33" xfId="0" quotePrefix="1" applyBorder="1" applyAlignment="1">
      <alignment horizontal="left" vertical="top"/>
    </xf>
    <xf numFmtId="0" fontId="20" fillId="7" borderId="1" xfId="6" applyFont="1" applyFill="1" applyBorder="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12" fillId="0" borderId="0" xfId="0" applyFont="1" applyAlignment="1">
      <alignment horizontal="left" vertical="center" wrapText="1"/>
    </xf>
    <xf numFmtId="0" fontId="0" fillId="19" borderId="0" xfId="0" applyFill="1"/>
    <xf numFmtId="0" fontId="21" fillId="0" borderId="61" xfId="11" applyFont="1" applyBorder="1" applyAlignment="1">
      <alignment horizontal="center" vertical="center"/>
    </xf>
    <xf numFmtId="0" fontId="12" fillId="0" borderId="61" xfId="0" applyFont="1" applyBorder="1" applyAlignment="1">
      <alignment horizontal="left" vertical="center" wrapText="1"/>
    </xf>
    <xf numFmtId="0" fontId="22" fillId="0" borderId="61" xfId="0" applyFont="1" applyBorder="1" applyAlignment="1">
      <alignment horizontal="center" vertical="center" wrapText="1"/>
    </xf>
    <xf numFmtId="0" fontId="12" fillId="7" borderId="61" xfId="0" applyFont="1" applyFill="1" applyBorder="1" applyAlignment="1">
      <alignment horizontal="left" vertical="center" wrapText="1"/>
    </xf>
    <xf numFmtId="0" fontId="12" fillId="7" borderId="61" xfId="0" applyFont="1" applyFill="1" applyBorder="1" applyAlignment="1">
      <alignment horizontal="left" vertical="center"/>
    </xf>
    <xf numFmtId="0" fontId="21" fillId="0" borderId="62" xfId="11" applyFont="1" applyBorder="1" applyAlignment="1">
      <alignment horizontal="center" vertical="center"/>
    </xf>
    <xf numFmtId="0" fontId="12" fillId="0" borderId="62" xfId="0" applyFont="1" applyBorder="1" applyAlignment="1">
      <alignment horizontal="left" vertical="center" wrapText="1"/>
    </xf>
    <xf numFmtId="0" fontId="22" fillId="0" borderId="62" xfId="0" applyFont="1" applyBorder="1" applyAlignment="1">
      <alignment horizontal="center" vertical="center" wrapText="1"/>
    </xf>
    <xf numFmtId="0" fontId="12" fillId="7" borderId="62" xfId="0" applyFont="1" applyFill="1" applyBorder="1" applyAlignment="1">
      <alignment horizontal="left" vertical="center" wrapText="1"/>
    </xf>
    <xf numFmtId="0" fontId="12" fillId="0" borderId="62" xfId="0" applyFont="1" applyBorder="1" applyAlignment="1">
      <alignment horizontal="left" vertical="center"/>
    </xf>
    <xf numFmtId="0" fontId="12" fillId="7" borderId="62" xfId="0" applyFont="1" applyFill="1" applyBorder="1" applyAlignment="1">
      <alignment horizontal="left" vertical="center"/>
    </xf>
    <xf numFmtId="0" fontId="12" fillId="0" borderId="62" xfId="0" quotePrefix="1" applyFont="1" applyBorder="1" applyAlignment="1">
      <alignment horizontal="left" vertical="center" wrapText="1"/>
    </xf>
    <xf numFmtId="0" fontId="16" fillId="0" borderId="62" xfId="11" applyBorder="1" applyAlignment="1">
      <alignment horizontal="center" vertical="center"/>
    </xf>
    <xf numFmtId="0" fontId="18" fillId="18" borderId="56" xfId="0" applyFont="1" applyFill="1" applyBorder="1" applyAlignment="1">
      <alignment horizontal="left" vertical="center" wrapText="1" indent="1"/>
    </xf>
    <xf numFmtId="0" fontId="18" fillId="18" borderId="60" xfId="0" applyFont="1" applyFill="1" applyBorder="1" applyAlignment="1">
      <alignment horizontal="left" vertical="center" wrapText="1" indent="1"/>
    </xf>
    <xf numFmtId="0" fontId="23" fillId="18" borderId="57" xfId="0" applyFont="1" applyFill="1" applyBorder="1" applyAlignment="1">
      <alignment horizontal="center" vertical="center" wrapText="1"/>
    </xf>
    <xf numFmtId="0" fontId="19" fillId="18" borderId="58" xfId="0" applyFont="1" applyFill="1" applyBorder="1" applyAlignment="1">
      <alignment horizontal="center" vertical="center"/>
    </xf>
    <xf numFmtId="0" fontId="19" fillId="18" borderId="59" xfId="0" applyFont="1" applyFill="1" applyBorder="1" applyAlignment="1">
      <alignment horizontal="center" vertical="center"/>
    </xf>
    <xf numFmtId="0" fontId="19" fillId="18" borderId="0" xfId="0" applyFont="1" applyFill="1" applyAlignment="1">
      <alignment horizontal="center" vertical="center"/>
    </xf>
    <xf numFmtId="0" fontId="17" fillId="18" borderId="57" xfId="0" applyFont="1" applyFill="1" applyBorder="1" applyAlignment="1">
      <alignment horizontal="center" vertical="center" wrapText="1"/>
    </xf>
    <xf numFmtId="0" fontId="17" fillId="18" borderId="55" xfId="0" applyFont="1" applyFill="1" applyBorder="1" applyAlignment="1">
      <alignment horizontal="center" vertical="center" wrapText="1"/>
    </xf>
    <xf numFmtId="0" fontId="18" fillId="18" borderId="52" xfId="0" applyFont="1" applyFill="1" applyBorder="1" applyAlignment="1">
      <alignment horizontal="center" vertical="center"/>
    </xf>
    <xf numFmtId="0" fontId="18" fillId="18" borderId="53" xfId="0" applyFont="1" applyFill="1" applyBorder="1" applyAlignment="1">
      <alignment horizontal="center" vertical="center"/>
    </xf>
    <xf numFmtId="0" fontId="18" fillId="18" borderId="54" xfId="0" applyFont="1" applyFill="1" applyBorder="1" applyAlignment="1">
      <alignment horizontal="center" vertical="center"/>
    </xf>
    <xf numFmtId="4" fontId="5" fillId="9" borderId="0" xfId="0" applyNumberFormat="1" applyFont="1" applyFill="1" applyAlignment="1">
      <alignment horizontal="center"/>
    </xf>
    <xf numFmtId="0" fontId="5" fillId="0" borderId="0" xfId="0" applyFont="1" applyAlignment="1">
      <alignment horizontal="center"/>
    </xf>
    <xf numFmtId="0" fontId="8" fillId="8" borderId="16" xfId="4" applyFont="1" applyFill="1" applyBorder="1" applyAlignment="1">
      <alignment horizontal="center" vertical="top" wrapText="1"/>
    </xf>
    <xf numFmtId="0" fontId="3" fillId="6" borderId="31" xfId="0" applyFont="1" applyFill="1" applyBorder="1" applyAlignment="1">
      <alignment horizontal="center" vertical="center"/>
    </xf>
    <xf numFmtId="0" fontId="3" fillId="6" borderId="32" xfId="0" applyFont="1" applyFill="1" applyBorder="1" applyAlignment="1">
      <alignment horizontal="center" vertical="center"/>
    </xf>
    <xf numFmtId="0" fontId="8" fillId="8" borderId="41" xfId="4" applyFont="1" applyFill="1" applyBorder="1" applyAlignment="1">
      <alignment horizontal="center" vertical="center" wrapText="1"/>
    </xf>
    <xf numFmtId="0" fontId="8" fillId="8" borderId="37" xfId="4" applyFont="1" applyFill="1" applyBorder="1" applyAlignment="1">
      <alignment horizontal="center" vertical="center" wrapText="1"/>
    </xf>
    <xf numFmtId="0" fontId="0" fillId="0" borderId="33" xfId="0" applyBorder="1" applyAlignment="1">
      <alignment horizontal="left" vertical="top" wrapText="1"/>
    </xf>
    <xf numFmtId="0" fontId="0" fillId="0" borderId="34" xfId="0" applyBorder="1" applyAlignment="1">
      <alignment horizontal="left" vertical="top" wrapText="1"/>
    </xf>
  </cellXfs>
  <cellStyles count="12">
    <cellStyle name="Hyperlink" xfId="11" builtinId="8"/>
    <cellStyle name="Hyperlink 2" xfId="10" xr:uid="{EFFB05C2-16BE-4330-B964-C31E53F3204E}"/>
    <cellStyle name="Invoer 2" xfId="5" xr:uid="{3F56075C-5E08-4094-9ADB-30B851F0C931}"/>
    <cellStyle name="Komma" xfId="1" builtinId="3"/>
    <cellStyle name="Komma 2" xfId="7" xr:uid="{CEA1B2D6-BE79-4966-8368-E4E230E05110}"/>
    <cellStyle name="Procent" xfId="3" builtinId="5"/>
    <cellStyle name="Procent 2" xfId="9" xr:uid="{D27F275E-6E8C-48AF-8E33-4D7803897F31}"/>
    <cellStyle name="Standaard" xfId="0" builtinId="0"/>
    <cellStyle name="Standaard 2" xfId="4" xr:uid="{8A025BFF-ADDF-456C-86F4-A917A0A89B67}"/>
    <cellStyle name="Standaard 3" xfId="6" xr:uid="{8DD934F8-FBDB-441F-938B-5F3E543FFFAD}"/>
    <cellStyle name="Valuta" xfId="2" builtinId="4"/>
    <cellStyle name="Valuta 2" xfId="8" xr:uid="{34A80DC4-AC44-4763-BCD8-7D9F587F8380}"/>
  </cellStyles>
  <dxfs count="524">
    <dxf>
      <font>
        <color theme="3"/>
      </font>
      <fill>
        <patternFill>
          <bgColor theme="3" tint="0.749961851863155"/>
        </patternFill>
      </fill>
    </dxf>
    <dxf>
      <font>
        <color rgb="FFEF6F00"/>
      </font>
      <fill>
        <patternFill>
          <bgColor theme="5" tint="0.59996337778862885"/>
        </patternFill>
      </fill>
    </dxf>
    <dxf>
      <font>
        <color theme="2" tint="-0.499984740745262"/>
      </font>
      <fill>
        <patternFill>
          <bgColor theme="2"/>
        </patternFill>
      </fill>
    </dxf>
    <dxf>
      <font>
        <b val="0"/>
        <i val="0"/>
        <strike val="0"/>
        <condense val="0"/>
        <extend val="0"/>
        <outline val="0"/>
        <shadow val="0"/>
        <u val="none"/>
        <vertAlign val="baseline"/>
        <sz val="11"/>
        <color auto="1"/>
        <name val="Aptos Narrow"/>
        <family val="2"/>
        <scheme val="minor"/>
      </font>
      <numFmt numFmtId="19" formatCode="d/m/yyyy"/>
      <fill>
        <patternFill patternType="solid">
          <fgColor indexed="64"/>
          <bgColor theme="0"/>
        </patternFill>
      </fill>
      <border diagonalUp="0" diagonalDown="0">
        <left/>
        <right/>
        <top/>
        <bottom style="thin">
          <color indexed="64"/>
        </bottom>
        <vertical/>
        <horizontal/>
      </border>
    </dxf>
    <dxf>
      <font>
        <b val="0"/>
        <i val="0"/>
        <strike val="0"/>
        <condense val="0"/>
        <extend val="0"/>
        <outline val="0"/>
        <shadow val="0"/>
        <u val="none"/>
        <vertAlign val="baseline"/>
        <sz val="11"/>
        <color auto="1"/>
        <name val="Aptos Narrow"/>
        <family val="2"/>
        <scheme val="minor"/>
      </font>
      <numFmt numFmtId="19" formatCode="d/m/yyyy"/>
      <fill>
        <patternFill patternType="solid">
          <fgColor indexed="64"/>
          <bgColor theme="0"/>
        </patternFill>
      </fill>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border diagonalUp="0" diagonalDown="0">
        <left/>
        <right/>
        <top/>
        <bottom style="thin">
          <color indexed="64"/>
        </bottom>
        <vertical/>
        <horizontal/>
      </border>
    </dxf>
    <dxf>
      <font>
        <b val="0"/>
        <i val="0"/>
        <strike val="0"/>
        <condense val="0"/>
        <extend val="0"/>
        <outline val="0"/>
        <shadow val="0"/>
        <u val="none"/>
        <vertAlign val="baseline"/>
        <sz val="11"/>
        <color auto="1"/>
        <name val="Aptos Narrow"/>
        <family val="2"/>
        <scheme val="minor"/>
      </font>
      <fill>
        <patternFill patternType="solid">
          <fgColor indexed="64"/>
          <bgColor theme="0"/>
        </patternFill>
      </fill>
      <border diagonalUp="0" diagonalDown="0">
        <left style="thin">
          <color indexed="64"/>
        </left>
        <right/>
        <top style="thin">
          <color indexed="64"/>
        </top>
        <bottom/>
        <vertical/>
        <horizontal/>
      </border>
    </dxf>
    <dxf>
      <border outline="0">
        <right style="thin">
          <color indexed="64"/>
        </right>
        <bottom style="thin">
          <color indexed="64"/>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numFmt numFmtId="176" formatCode="0.00_ ;[Red]\-0.00\ "/>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2" formatCode="&quot;€&quot;\ #,##0.00;[Red]&quot;€&quot;\ \-#,##0.00"/>
      <fill>
        <patternFill patternType="none">
          <fgColor indexed="64"/>
          <bgColor indexed="6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numFmt numFmtId="176" formatCode="0.00_ ;[Red]\-0.00\ "/>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12" formatCode="&quot;€&quot;\ #,##0.00;[Red]&quot;€&quot;\ \-#,##0.00"/>
      <fill>
        <patternFill patternType="none">
          <fgColor indexed="64"/>
          <bgColor auto="1"/>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name val="Arial"/>
        <family val="2"/>
        <scheme val="none"/>
      </font>
      <numFmt numFmtId="171" formatCode="&quot;€&quot;\ #,##0.00"/>
      <fill>
        <patternFill patternType="solid">
          <fgColor indexed="64"/>
          <bgColor theme="4" tint="0.59999389629810485"/>
        </patternFill>
      </fill>
      <alignment horizontal="right" vertical="center" textRotation="0" wrapText="0" indent="1"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1" formatCode="&quot;€&quot;\ #,##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72" formatCode="00.00"/>
      <fill>
        <patternFill patternType="none">
          <fgColor indexed="64"/>
          <bgColor auto="1"/>
        </patternFill>
      </fill>
      <alignment horizontal="right" vertical="center" textRotation="0" wrapText="0" indent="1"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3"/>
        <name val="Arial"/>
        <family val="2"/>
        <scheme val="none"/>
      </font>
      <numFmt numFmtId="165" formatCode="00"/>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color theme="3"/>
        <name val="Arial"/>
        <family val="2"/>
        <scheme val="none"/>
      </font>
      <numFmt numFmtId="165" formatCode="0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 formatCode="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Arial"/>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rgb="FF000000"/>
          <bgColor auto="1"/>
        </patternFill>
      </fill>
      <alignment horizontal="center"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ptos Narrow"/>
        <family val="2"/>
        <scheme val="minor"/>
      </font>
      <fill>
        <patternFill patternType="solid">
          <fgColor indexed="64"/>
          <bgColor theme="0"/>
        </patternFill>
      </fill>
      <alignment horizontal="right" vertical="bottom" textRotation="0" wrapText="0" indent="2" justifyLastLine="0" shrinkToFit="0" readingOrder="0"/>
    </dxf>
    <dxf>
      <fill>
        <patternFill patternType="solid">
          <fgColor indexed="64"/>
          <bgColor theme="7" tint="0.79998168889431442"/>
        </patternFill>
      </fill>
      <alignment horizontal="right" vertical="bottom" textRotation="0" wrapText="0" indent="1" justifyLastLine="0" shrinkToFit="0" readingOrder="0"/>
    </dxf>
    <dxf>
      <fill>
        <patternFill patternType="solid">
          <fgColor indexed="64"/>
          <bgColor theme="7" tint="0.79998168889431442"/>
        </patternFill>
      </fill>
      <alignment horizontal="right" vertical="bottom" textRotation="0" wrapText="0" indent="1" justifyLastLine="0" shrinkToFit="0" readingOrder="0"/>
    </dxf>
    <dxf>
      <fill>
        <patternFill patternType="solid">
          <fgColor indexed="64"/>
          <bgColor theme="7" tint="0.79998168889431442"/>
        </patternFill>
      </fill>
      <alignment horizontal="right" vertical="bottom" textRotation="0" wrapText="0" indent="1" justifyLastLine="0" shrinkToFit="0" readingOrder="0"/>
    </dxf>
    <dxf>
      <fill>
        <patternFill patternType="solid">
          <fgColor indexed="64"/>
          <bgColor theme="7" tint="0.79998168889431442"/>
        </patternFill>
      </fill>
      <alignment horizontal="right" vertical="bottom" textRotation="0" wrapText="0" indent="1" justifyLastLine="0" shrinkToFit="0" readingOrder="0"/>
    </dxf>
    <dxf>
      <fill>
        <patternFill patternType="solid">
          <fgColor indexed="64"/>
          <bgColor theme="7" tint="0.79998168889431442"/>
        </patternFill>
      </fill>
      <alignment horizontal="right" vertical="bottom" textRotation="0" wrapText="0" indent="1" justifyLastLine="0" shrinkToFit="0" readingOrder="0"/>
    </dxf>
    <dxf>
      <fill>
        <patternFill patternType="solid">
          <fgColor indexed="64"/>
          <bgColor theme="7" tint="0.79998168889431442"/>
        </patternFill>
      </fill>
      <alignment horizontal="right" vertical="bottom" textRotation="0" wrapText="0" indent="1" justifyLastLine="0" shrinkToFit="0" readingOrder="0"/>
    </dxf>
    <dxf>
      <numFmt numFmtId="165" formatCode="00"/>
      <fill>
        <patternFill patternType="solid">
          <fgColor indexed="64"/>
          <bgColor theme="7" tint="0.79998168889431442"/>
        </patternFill>
      </fill>
      <alignment horizontal="center" vertical="bottom" textRotation="0" wrapText="0" indent="0" justifyLastLine="0" shrinkToFit="0" readingOrder="0"/>
    </dxf>
    <dxf>
      <numFmt numFmtId="165" formatCode="00"/>
      <fill>
        <patternFill patternType="solid">
          <fgColor indexed="64"/>
          <bgColor theme="7" tint="0.79998168889431442"/>
        </patternFill>
      </fill>
      <alignment horizontal="center" vertical="bottom" textRotation="0" wrapText="0" indent="0" justifyLastLine="0" shrinkToFit="0" readingOrder="0"/>
    </dxf>
    <dxf>
      <numFmt numFmtId="165" formatCode="00"/>
      <fill>
        <patternFill patternType="solid">
          <fgColor indexed="64"/>
          <bgColor theme="7" tint="0.79998168889431442"/>
        </patternFill>
      </fill>
      <alignment horizontal="center" vertical="bottom" textRotation="0" wrapText="0" indent="0" justifyLastLine="0" shrinkToFit="0" readingOrder="0"/>
    </dxf>
    <dxf>
      <numFmt numFmtId="165" formatCode="00"/>
      <fill>
        <patternFill patternType="solid">
          <fgColor indexed="64"/>
          <bgColor theme="7" tint="0.79998168889431442"/>
        </patternFill>
      </fill>
      <alignment horizontal="center" vertical="bottom" textRotation="0" wrapText="0" indent="0" justifyLastLine="0" shrinkToFit="0" readingOrder="0"/>
    </dxf>
    <dxf>
      <numFmt numFmtId="164" formatCode="dd/mm/yyyy"/>
      <fill>
        <patternFill patternType="solid">
          <fgColor indexed="64"/>
          <bgColor theme="0"/>
        </patternFill>
      </fill>
      <alignment horizontal="center" vertical="bottom" textRotation="0" wrapText="0" indent="0" justifyLastLine="0" shrinkToFit="0" readingOrder="0"/>
    </dxf>
    <dxf>
      <numFmt numFmtId="164" formatCode="dd/mm/yyyy"/>
      <fill>
        <patternFill patternType="solid">
          <fgColor indexed="64"/>
          <bgColor theme="0"/>
        </patternFill>
      </fill>
      <alignment horizontal="center" vertical="bottom" textRotation="0" wrapText="0" indent="0" justifyLastLine="0" shrinkToFit="0" readingOrder="0"/>
    </dxf>
    <dxf>
      <numFmt numFmtId="1" formatCode="0"/>
      <fill>
        <patternFill patternType="solid">
          <fgColor indexed="64"/>
          <bgColor theme="0"/>
        </patternFill>
      </fill>
      <alignment horizontal="center" vertical="bottom" textRotation="0" wrapText="0" indent="0" justifyLastLine="0" shrinkToFit="0" readingOrder="0"/>
    </dxf>
    <dxf>
      <numFmt numFmtId="164" formatCode="dd/mm/yyyy"/>
      <fill>
        <patternFill patternType="solid">
          <fgColor indexed="64"/>
          <bgColor theme="0"/>
        </patternFill>
      </fill>
      <alignment horizontal="center" vertical="bottom" textRotation="0" wrapText="0" indent="0" justifyLastLine="0" shrinkToFit="0" readingOrder="0"/>
    </dxf>
    <dxf>
      <numFmt numFmtId="164" formatCode="dd/mm/yyyy"/>
      <fill>
        <patternFill patternType="solid">
          <fgColor indexed="64"/>
          <bgColor theme="0"/>
        </patternFill>
      </fill>
      <alignment horizontal="center" vertical="bottom" textRotation="0" wrapText="0" indent="0" justifyLastLine="0" shrinkToFit="0" readingOrder="0"/>
    </dxf>
    <dxf>
      <numFmt numFmtId="0" formatCode="General"/>
      <fill>
        <patternFill patternType="solid">
          <fgColor indexed="64"/>
          <bgColor theme="0"/>
        </patternFill>
      </fill>
      <alignment horizontal="center" vertical="bottom"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Aptos Narrow"/>
        <family val="2"/>
        <scheme val="minor"/>
      </font>
      <fill>
        <patternFill patternType="solid">
          <fgColor indexed="64"/>
          <bgColor theme="1"/>
        </patternFill>
      </fill>
      <alignment horizontal="left"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EF6F00"/>
      <color rgb="FF009E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11.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12.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13.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14.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15.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16.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17.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18.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19.xml.rels><?xml version="1.0" encoding="UTF-8" standalone="yes"?>
<Relationships xmlns="http://schemas.openxmlformats.org/package/2006/relationships"><Relationship Id="rId3" Type="http://schemas.openxmlformats.org/officeDocument/2006/relationships/hyperlink" Target="#'Use cases'!A1"/><Relationship Id="rId7" Type="http://schemas.openxmlformats.org/officeDocument/2006/relationships/image" Target="../media/image6.png"/><Relationship Id="rId2" Type="http://schemas.openxmlformats.org/officeDocument/2006/relationships/image" Target="../media/image5.jpeg"/><Relationship Id="rId1" Type="http://schemas.openxmlformats.org/officeDocument/2006/relationships/image" Target="../media/image4.png"/><Relationship Id="rId6" Type="http://schemas.openxmlformats.org/officeDocument/2006/relationships/hyperlink" Target="#Voorbeeldsituaties!A1"/><Relationship Id="rId5" Type="http://schemas.openxmlformats.org/officeDocument/2006/relationships/image" Target="../media/image8.svg"/><Relationship Id="rId4" Type="http://schemas.openxmlformats.org/officeDocument/2006/relationships/image" Target="../media/image7.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21.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7.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8.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_rels/drawing9.xml.rels><?xml version="1.0" encoding="UTF-8" standalone="yes"?>
<Relationships xmlns="http://schemas.openxmlformats.org/package/2006/relationships"><Relationship Id="rId3" Type="http://schemas.openxmlformats.org/officeDocument/2006/relationships/hyperlink" Target="#Voorbeeldsituaties!A1"/><Relationship Id="rId2" Type="http://schemas.openxmlformats.org/officeDocument/2006/relationships/image" Target="../media/image5.jpeg"/><Relationship Id="rId1" Type="http://schemas.openxmlformats.org/officeDocument/2006/relationships/image" Target="../media/image4.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25</xdr:col>
      <xdr:colOff>291686</xdr:colOff>
      <xdr:row>1</xdr:row>
      <xdr:rowOff>66675</xdr:rowOff>
    </xdr:from>
    <xdr:to>
      <xdr:col>27</xdr:col>
      <xdr:colOff>949625</xdr:colOff>
      <xdr:row>7</xdr:row>
      <xdr:rowOff>132469</xdr:rowOff>
    </xdr:to>
    <xdr:pic>
      <xdr:nvPicPr>
        <xdr:cNvPr id="2" name="Afbeelding 1" descr="Logo">
          <a:extLst>
            <a:ext uri="{FF2B5EF4-FFF2-40B4-BE49-F238E27FC236}">
              <a16:creationId xmlns:a16="http://schemas.microsoft.com/office/drawing/2014/main" id="{5856DF93-D9C3-4A5F-80C3-35FDAF70E9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132886" y="247650"/>
          <a:ext cx="2829639" cy="11649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1312981</xdr:colOff>
      <xdr:row>28</xdr:row>
      <xdr:rowOff>130923</xdr:rowOff>
    </xdr:to>
    <xdr:pic>
      <xdr:nvPicPr>
        <xdr:cNvPr id="2" name="Afbeelding 1" descr="Logo">
          <a:extLst>
            <a:ext uri="{FF2B5EF4-FFF2-40B4-BE49-F238E27FC236}">
              <a16:creationId xmlns:a16="http://schemas.microsoft.com/office/drawing/2014/main" id="{831AC2E0-8056-4AC7-8E47-1043172D7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08" y="5522898"/>
          <a:ext cx="1189573" cy="51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1545091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7301C54A-F4C2-458E-AC3F-4FCAC65E823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28749" y="5409623"/>
          <a:ext cx="2488067" cy="6511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63500</xdr:colOff>
      <xdr:row>0</xdr:row>
      <xdr:rowOff>63500</xdr:rowOff>
    </xdr:from>
    <xdr:to>
      <xdr:col>0</xdr:col>
      <xdr:colOff>779696</xdr:colOff>
      <xdr:row>1</xdr:row>
      <xdr:rowOff>95433</xdr:rowOff>
    </xdr:to>
    <xdr:pic>
      <xdr:nvPicPr>
        <xdr:cNvPr id="5" name="Afbeelding 4">
          <a:hlinkClick xmlns:r="http://schemas.openxmlformats.org/officeDocument/2006/relationships" r:id="rId3"/>
          <a:extLst>
            <a:ext uri="{FF2B5EF4-FFF2-40B4-BE49-F238E27FC236}">
              <a16:creationId xmlns:a16="http://schemas.microsoft.com/office/drawing/2014/main" id="{1A9687EA-36B5-4392-B44F-77F9B0379292}"/>
            </a:ext>
          </a:extLst>
        </xdr:cNvPr>
        <xdr:cNvPicPr>
          <a:picLocks noChangeAspect="1"/>
        </xdr:cNvPicPr>
      </xdr:nvPicPr>
      <xdr:blipFill>
        <a:blip xmlns:r="http://schemas.openxmlformats.org/officeDocument/2006/relationships" r:embed="rId4"/>
        <a:stretch>
          <a:fillRect/>
        </a:stretch>
      </xdr:blipFill>
      <xdr:spPr>
        <a:xfrm>
          <a:off x="63500" y="63500"/>
          <a:ext cx="716196" cy="4023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1312981</xdr:colOff>
      <xdr:row>28</xdr:row>
      <xdr:rowOff>130923</xdr:rowOff>
    </xdr:to>
    <xdr:pic>
      <xdr:nvPicPr>
        <xdr:cNvPr id="2" name="Afbeelding 1" descr="Logo">
          <a:extLst>
            <a:ext uri="{FF2B5EF4-FFF2-40B4-BE49-F238E27FC236}">
              <a16:creationId xmlns:a16="http://schemas.microsoft.com/office/drawing/2014/main" id="{877ADAB6-C5F7-46D1-84B2-FF08E8C20FD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08" y="5522898"/>
          <a:ext cx="1189573" cy="51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1545091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B1CE8542-9DE1-4E21-B153-FB9267041BD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28749" y="5409623"/>
          <a:ext cx="2488067" cy="6511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74083</xdr:colOff>
      <xdr:row>0</xdr:row>
      <xdr:rowOff>52917</xdr:rowOff>
    </xdr:from>
    <xdr:to>
      <xdr:col>0</xdr:col>
      <xdr:colOff>790279</xdr:colOff>
      <xdr:row>1</xdr:row>
      <xdr:rowOff>81675</xdr:rowOff>
    </xdr:to>
    <xdr:pic>
      <xdr:nvPicPr>
        <xdr:cNvPr id="5" name="Afbeelding 4">
          <a:hlinkClick xmlns:r="http://schemas.openxmlformats.org/officeDocument/2006/relationships" r:id="rId3"/>
          <a:extLst>
            <a:ext uri="{FF2B5EF4-FFF2-40B4-BE49-F238E27FC236}">
              <a16:creationId xmlns:a16="http://schemas.microsoft.com/office/drawing/2014/main" id="{EA498C0E-AB96-46CA-A0E8-97A100B8F312}"/>
            </a:ext>
          </a:extLst>
        </xdr:cNvPr>
        <xdr:cNvPicPr>
          <a:picLocks noChangeAspect="1"/>
        </xdr:cNvPicPr>
      </xdr:nvPicPr>
      <xdr:blipFill>
        <a:blip xmlns:r="http://schemas.openxmlformats.org/officeDocument/2006/relationships" r:embed="rId4"/>
        <a:stretch>
          <a:fillRect/>
        </a:stretch>
      </xdr:blipFill>
      <xdr:spPr>
        <a:xfrm>
          <a:off x="74083" y="52917"/>
          <a:ext cx="716196" cy="3991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1312981</xdr:colOff>
      <xdr:row>28</xdr:row>
      <xdr:rowOff>130923</xdr:rowOff>
    </xdr:to>
    <xdr:pic>
      <xdr:nvPicPr>
        <xdr:cNvPr id="2" name="Afbeelding 1" descr="Logo">
          <a:extLst>
            <a:ext uri="{FF2B5EF4-FFF2-40B4-BE49-F238E27FC236}">
              <a16:creationId xmlns:a16="http://schemas.microsoft.com/office/drawing/2014/main" id="{1B89F537-A005-4DFA-BD22-3E8CAB4C43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08" y="5522898"/>
          <a:ext cx="1189573" cy="51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1545091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EFDC2742-DF8D-4DF1-89C0-C726EAEB85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28749" y="5409623"/>
          <a:ext cx="2488067" cy="6511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84666</xdr:colOff>
      <xdr:row>0</xdr:row>
      <xdr:rowOff>52916</xdr:rowOff>
    </xdr:from>
    <xdr:to>
      <xdr:col>0</xdr:col>
      <xdr:colOff>800862</xdr:colOff>
      <xdr:row>1</xdr:row>
      <xdr:rowOff>88024</xdr:rowOff>
    </xdr:to>
    <xdr:pic>
      <xdr:nvPicPr>
        <xdr:cNvPr id="5" name="Afbeelding 4">
          <a:hlinkClick xmlns:r="http://schemas.openxmlformats.org/officeDocument/2006/relationships" r:id="rId3"/>
          <a:extLst>
            <a:ext uri="{FF2B5EF4-FFF2-40B4-BE49-F238E27FC236}">
              <a16:creationId xmlns:a16="http://schemas.microsoft.com/office/drawing/2014/main" id="{F706231D-C6B1-4C94-88FA-5E35ED8BAABD}"/>
            </a:ext>
          </a:extLst>
        </xdr:cNvPr>
        <xdr:cNvPicPr>
          <a:picLocks noChangeAspect="1"/>
        </xdr:cNvPicPr>
      </xdr:nvPicPr>
      <xdr:blipFill>
        <a:blip xmlns:r="http://schemas.openxmlformats.org/officeDocument/2006/relationships" r:embed="rId4"/>
        <a:stretch>
          <a:fillRect/>
        </a:stretch>
      </xdr:blipFill>
      <xdr:spPr>
        <a:xfrm>
          <a:off x="84666" y="52916"/>
          <a:ext cx="716196" cy="4055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1312981</xdr:colOff>
      <xdr:row>28</xdr:row>
      <xdr:rowOff>130923</xdr:rowOff>
    </xdr:to>
    <xdr:pic>
      <xdr:nvPicPr>
        <xdr:cNvPr id="2" name="Afbeelding 1" descr="Logo">
          <a:extLst>
            <a:ext uri="{FF2B5EF4-FFF2-40B4-BE49-F238E27FC236}">
              <a16:creationId xmlns:a16="http://schemas.microsoft.com/office/drawing/2014/main" id="{9CA106E5-B60B-415A-81F6-61EDB252AC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08" y="5522898"/>
          <a:ext cx="1189573" cy="51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1545091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9F751456-CE6B-47C0-A0E7-9E7A04B97A4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28749" y="5409623"/>
          <a:ext cx="2488067" cy="6511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74083</xdr:colOff>
      <xdr:row>0</xdr:row>
      <xdr:rowOff>63500</xdr:rowOff>
    </xdr:from>
    <xdr:to>
      <xdr:col>0</xdr:col>
      <xdr:colOff>796629</xdr:colOff>
      <xdr:row>1</xdr:row>
      <xdr:rowOff>95433</xdr:rowOff>
    </xdr:to>
    <xdr:pic>
      <xdr:nvPicPr>
        <xdr:cNvPr id="5" name="Afbeelding 4">
          <a:hlinkClick xmlns:r="http://schemas.openxmlformats.org/officeDocument/2006/relationships" r:id="rId3"/>
          <a:extLst>
            <a:ext uri="{FF2B5EF4-FFF2-40B4-BE49-F238E27FC236}">
              <a16:creationId xmlns:a16="http://schemas.microsoft.com/office/drawing/2014/main" id="{D66A316F-C383-4254-B569-B533244B9240}"/>
            </a:ext>
          </a:extLst>
        </xdr:cNvPr>
        <xdr:cNvPicPr>
          <a:picLocks noChangeAspect="1"/>
        </xdr:cNvPicPr>
      </xdr:nvPicPr>
      <xdr:blipFill>
        <a:blip xmlns:r="http://schemas.openxmlformats.org/officeDocument/2006/relationships" r:embed="rId4"/>
        <a:stretch>
          <a:fillRect/>
        </a:stretch>
      </xdr:blipFill>
      <xdr:spPr>
        <a:xfrm>
          <a:off x="74083" y="63500"/>
          <a:ext cx="722546" cy="4023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1312981</xdr:colOff>
      <xdr:row>28</xdr:row>
      <xdr:rowOff>130923</xdr:rowOff>
    </xdr:to>
    <xdr:pic>
      <xdr:nvPicPr>
        <xdr:cNvPr id="2" name="Afbeelding 1" descr="Logo">
          <a:extLst>
            <a:ext uri="{FF2B5EF4-FFF2-40B4-BE49-F238E27FC236}">
              <a16:creationId xmlns:a16="http://schemas.microsoft.com/office/drawing/2014/main" id="{C01939B8-D26B-44C1-B5BA-9A5212AEC3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08" y="5522898"/>
          <a:ext cx="1189573" cy="51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1545091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92CAF1DA-B53A-404E-ABC8-410EE16D565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28749" y="5409623"/>
          <a:ext cx="2488067" cy="6511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84667</xdr:colOff>
      <xdr:row>0</xdr:row>
      <xdr:rowOff>63500</xdr:rowOff>
    </xdr:from>
    <xdr:to>
      <xdr:col>0</xdr:col>
      <xdr:colOff>800863</xdr:colOff>
      <xdr:row>1</xdr:row>
      <xdr:rowOff>92258</xdr:rowOff>
    </xdr:to>
    <xdr:pic>
      <xdr:nvPicPr>
        <xdr:cNvPr id="5" name="Afbeelding 4">
          <a:hlinkClick xmlns:r="http://schemas.openxmlformats.org/officeDocument/2006/relationships" r:id="rId3"/>
          <a:extLst>
            <a:ext uri="{FF2B5EF4-FFF2-40B4-BE49-F238E27FC236}">
              <a16:creationId xmlns:a16="http://schemas.microsoft.com/office/drawing/2014/main" id="{F904019B-16F5-46B5-B6E0-5B7BA05D43AB}"/>
            </a:ext>
          </a:extLst>
        </xdr:cNvPr>
        <xdr:cNvPicPr>
          <a:picLocks noChangeAspect="1"/>
        </xdr:cNvPicPr>
      </xdr:nvPicPr>
      <xdr:blipFill>
        <a:blip xmlns:r="http://schemas.openxmlformats.org/officeDocument/2006/relationships" r:embed="rId4"/>
        <a:stretch>
          <a:fillRect/>
        </a:stretch>
      </xdr:blipFill>
      <xdr:spPr>
        <a:xfrm>
          <a:off x="84667" y="63500"/>
          <a:ext cx="716196" cy="3991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1330761</xdr:colOff>
      <xdr:row>28</xdr:row>
      <xdr:rowOff>148703</xdr:rowOff>
    </xdr:to>
    <xdr:pic>
      <xdr:nvPicPr>
        <xdr:cNvPr id="2" name="Afbeelding 1" descr="Logo">
          <a:extLst>
            <a:ext uri="{FF2B5EF4-FFF2-40B4-BE49-F238E27FC236}">
              <a16:creationId xmlns:a16="http://schemas.microsoft.com/office/drawing/2014/main" id="{E0E98AC5-15FF-4E7C-919A-D40429AD2E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08" y="5465748"/>
          <a:ext cx="1193383" cy="517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1527311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24C0B3B3-44BA-454E-8C49-6AAC992DA14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28749" y="5352473"/>
          <a:ext cx="2484257" cy="6511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95250</xdr:colOff>
      <xdr:row>0</xdr:row>
      <xdr:rowOff>63500</xdr:rowOff>
    </xdr:from>
    <xdr:to>
      <xdr:col>0</xdr:col>
      <xdr:colOff>811446</xdr:colOff>
      <xdr:row>1</xdr:row>
      <xdr:rowOff>92258</xdr:rowOff>
    </xdr:to>
    <xdr:pic>
      <xdr:nvPicPr>
        <xdr:cNvPr id="4" name="Afbeelding 3">
          <a:hlinkClick xmlns:r="http://schemas.openxmlformats.org/officeDocument/2006/relationships" r:id="rId3"/>
          <a:extLst>
            <a:ext uri="{FF2B5EF4-FFF2-40B4-BE49-F238E27FC236}">
              <a16:creationId xmlns:a16="http://schemas.microsoft.com/office/drawing/2014/main" id="{901EB9A9-03C0-4606-BD24-5E62A16AA4B8}"/>
            </a:ext>
          </a:extLst>
        </xdr:cNvPr>
        <xdr:cNvPicPr>
          <a:picLocks noChangeAspect="1"/>
        </xdr:cNvPicPr>
      </xdr:nvPicPr>
      <xdr:blipFill>
        <a:blip xmlns:r="http://schemas.openxmlformats.org/officeDocument/2006/relationships" r:embed="rId4"/>
        <a:stretch>
          <a:fillRect/>
        </a:stretch>
      </xdr:blipFill>
      <xdr:spPr>
        <a:xfrm>
          <a:off x="95250" y="63500"/>
          <a:ext cx="716196" cy="39917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1330761</xdr:colOff>
      <xdr:row>28</xdr:row>
      <xdr:rowOff>142353</xdr:rowOff>
    </xdr:to>
    <xdr:pic>
      <xdr:nvPicPr>
        <xdr:cNvPr id="2" name="Afbeelding 1" descr="Logo">
          <a:extLst>
            <a:ext uri="{FF2B5EF4-FFF2-40B4-BE49-F238E27FC236}">
              <a16:creationId xmlns:a16="http://schemas.microsoft.com/office/drawing/2014/main" id="{2CD9C1D5-C6E4-471A-9750-59BF285B12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393" y="5764833"/>
          <a:ext cx="1200368" cy="5274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1533661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817F210E-6E13-4171-9E37-4CC9FB681CD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32559" y="5649018"/>
          <a:ext cx="2428377" cy="64990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95250</xdr:colOff>
      <xdr:row>0</xdr:row>
      <xdr:rowOff>74083</xdr:rowOff>
    </xdr:from>
    <xdr:to>
      <xdr:col>0</xdr:col>
      <xdr:colOff>811446</xdr:colOff>
      <xdr:row>1</xdr:row>
      <xdr:rowOff>102841</xdr:rowOff>
    </xdr:to>
    <xdr:pic>
      <xdr:nvPicPr>
        <xdr:cNvPr id="4" name="Afbeelding 3">
          <a:hlinkClick xmlns:r="http://schemas.openxmlformats.org/officeDocument/2006/relationships" r:id="rId3"/>
          <a:extLst>
            <a:ext uri="{FF2B5EF4-FFF2-40B4-BE49-F238E27FC236}">
              <a16:creationId xmlns:a16="http://schemas.microsoft.com/office/drawing/2014/main" id="{F5ED25E7-D494-40BB-B0CE-8BDFADFF9746}"/>
            </a:ext>
          </a:extLst>
        </xdr:cNvPr>
        <xdr:cNvPicPr>
          <a:picLocks noChangeAspect="1"/>
        </xdr:cNvPicPr>
      </xdr:nvPicPr>
      <xdr:blipFill>
        <a:blip xmlns:r="http://schemas.openxmlformats.org/officeDocument/2006/relationships" r:embed="rId4"/>
        <a:stretch>
          <a:fillRect/>
        </a:stretch>
      </xdr:blipFill>
      <xdr:spPr>
        <a:xfrm>
          <a:off x="95250" y="74083"/>
          <a:ext cx="716196" cy="39917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1330761</xdr:colOff>
      <xdr:row>28</xdr:row>
      <xdr:rowOff>142353</xdr:rowOff>
    </xdr:to>
    <xdr:pic>
      <xdr:nvPicPr>
        <xdr:cNvPr id="2" name="Afbeelding 1" descr="Logo">
          <a:extLst>
            <a:ext uri="{FF2B5EF4-FFF2-40B4-BE49-F238E27FC236}">
              <a16:creationId xmlns:a16="http://schemas.microsoft.com/office/drawing/2014/main" id="{F8BDAE34-DD39-430A-8F5D-15BFF2B68F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08" y="5465748"/>
          <a:ext cx="1207353" cy="524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1533661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F0923235-19C8-414F-B7C0-26D0F5A7012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28749" y="5352473"/>
          <a:ext cx="2476637" cy="6511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74083</xdr:colOff>
      <xdr:row>0</xdr:row>
      <xdr:rowOff>84666</xdr:rowOff>
    </xdr:from>
    <xdr:to>
      <xdr:col>0</xdr:col>
      <xdr:colOff>790279</xdr:colOff>
      <xdr:row>1</xdr:row>
      <xdr:rowOff>113424</xdr:rowOff>
    </xdr:to>
    <xdr:pic>
      <xdr:nvPicPr>
        <xdr:cNvPr id="6" name="Afbeelding 5">
          <a:hlinkClick xmlns:r="http://schemas.openxmlformats.org/officeDocument/2006/relationships" r:id="rId3"/>
          <a:extLst>
            <a:ext uri="{FF2B5EF4-FFF2-40B4-BE49-F238E27FC236}">
              <a16:creationId xmlns:a16="http://schemas.microsoft.com/office/drawing/2014/main" id="{FA98DC9C-F3C3-42DC-9C83-6B310904E487}"/>
            </a:ext>
          </a:extLst>
        </xdr:cNvPr>
        <xdr:cNvPicPr>
          <a:picLocks noChangeAspect="1"/>
        </xdr:cNvPicPr>
      </xdr:nvPicPr>
      <xdr:blipFill>
        <a:blip xmlns:r="http://schemas.openxmlformats.org/officeDocument/2006/relationships" r:embed="rId4"/>
        <a:stretch>
          <a:fillRect/>
        </a:stretch>
      </xdr:blipFill>
      <xdr:spPr>
        <a:xfrm>
          <a:off x="74083" y="84666"/>
          <a:ext cx="716196" cy="39917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1330761</xdr:colOff>
      <xdr:row>28</xdr:row>
      <xdr:rowOff>142353</xdr:rowOff>
    </xdr:to>
    <xdr:pic>
      <xdr:nvPicPr>
        <xdr:cNvPr id="2" name="Afbeelding 1" descr="Logo">
          <a:extLst>
            <a:ext uri="{FF2B5EF4-FFF2-40B4-BE49-F238E27FC236}">
              <a16:creationId xmlns:a16="http://schemas.microsoft.com/office/drawing/2014/main" id="{5A632D02-7008-41C8-A3BB-AA3322560C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08" y="5465748"/>
          <a:ext cx="1207353" cy="528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1533661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FBA2BAD1-67C4-41D7-B119-02BCCF59A17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28749" y="5352473"/>
          <a:ext cx="2473462" cy="6511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95250</xdr:colOff>
      <xdr:row>0</xdr:row>
      <xdr:rowOff>74083</xdr:rowOff>
    </xdr:from>
    <xdr:to>
      <xdr:col>0</xdr:col>
      <xdr:colOff>811446</xdr:colOff>
      <xdr:row>1</xdr:row>
      <xdr:rowOff>102841</xdr:rowOff>
    </xdr:to>
    <xdr:pic>
      <xdr:nvPicPr>
        <xdr:cNvPr id="5" name="Afbeelding 4">
          <a:hlinkClick xmlns:r="http://schemas.openxmlformats.org/officeDocument/2006/relationships" r:id="rId3"/>
          <a:extLst>
            <a:ext uri="{FF2B5EF4-FFF2-40B4-BE49-F238E27FC236}">
              <a16:creationId xmlns:a16="http://schemas.microsoft.com/office/drawing/2014/main" id="{C1F33A55-FA98-4A46-9A27-3F4A5383A3AD}"/>
            </a:ext>
          </a:extLst>
        </xdr:cNvPr>
        <xdr:cNvPicPr>
          <a:picLocks noChangeAspect="1"/>
        </xdr:cNvPicPr>
      </xdr:nvPicPr>
      <xdr:blipFill>
        <a:blip xmlns:r="http://schemas.openxmlformats.org/officeDocument/2006/relationships" r:embed="rId4"/>
        <a:stretch>
          <a:fillRect/>
        </a:stretch>
      </xdr:blipFill>
      <xdr:spPr>
        <a:xfrm>
          <a:off x="95250" y="74083"/>
          <a:ext cx="716196" cy="39917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1312981</xdr:colOff>
      <xdr:row>28</xdr:row>
      <xdr:rowOff>130923</xdr:rowOff>
    </xdr:to>
    <xdr:pic>
      <xdr:nvPicPr>
        <xdr:cNvPr id="2" name="Afbeelding 1" descr="Logo">
          <a:extLst>
            <a:ext uri="{FF2B5EF4-FFF2-40B4-BE49-F238E27FC236}">
              <a16:creationId xmlns:a16="http://schemas.microsoft.com/office/drawing/2014/main" id="{807F9A28-0AF0-4CA6-9DC1-C13598688B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393" y="5821983"/>
          <a:ext cx="1186398" cy="51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1545091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98262CA8-BBCA-4827-A00A-E0D82E11F8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32559" y="5706168"/>
          <a:ext cx="2442347" cy="64990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24</xdr:col>
      <xdr:colOff>0</xdr:colOff>
      <xdr:row>6</xdr:row>
      <xdr:rowOff>0</xdr:rowOff>
    </xdr:from>
    <xdr:to>
      <xdr:col>24</xdr:col>
      <xdr:colOff>522817</xdr:colOff>
      <xdr:row>8</xdr:row>
      <xdr:rowOff>138362</xdr:rowOff>
    </xdr:to>
    <xdr:pic>
      <xdr:nvPicPr>
        <xdr:cNvPr id="4" name="Graphic 3" descr="Huis silhouet">
          <a:hlinkClick xmlns:r="http://schemas.openxmlformats.org/officeDocument/2006/relationships" r:id="rId3"/>
          <a:extLst>
            <a:ext uri="{FF2B5EF4-FFF2-40B4-BE49-F238E27FC236}">
              <a16:creationId xmlns:a16="http://schemas.microsoft.com/office/drawing/2014/main" id="{94C68573-D2C6-4CFF-B5D3-561A18E9FB05}"/>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4807333" y="1375833"/>
          <a:ext cx="522817" cy="540529"/>
        </a:xfrm>
        <a:prstGeom prst="rect">
          <a:avLst/>
        </a:prstGeom>
      </xdr:spPr>
    </xdr:pic>
    <xdr:clientData/>
  </xdr:twoCellAnchor>
  <xdr:twoCellAnchor editAs="oneCell">
    <xdr:from>
      <xdr:col>24</xdr:col>
      <xdr:colOff>0</xdr:colOff>
      <xdr:row>6</xdr:row>
      <xdr:rowOff>0</xdr:rowOff>
    </xdr:from>
    <xdr:to>
      <xdr:col>24</xdr:col>
      <xdr:colOff>522817</xdr:colOff>
      <xdr:row>8</xdr:row>
      <xdr:rowOff>141537</xdr:rowOff>
    </xdr:to>
    <xdr:pic>
      <xdr:nvPicPr>
        <xdr:cNvPr id="5" name="Graphic 4" descr="Huis silhouet">
          <a:hlinkClick xmlns:r="http://schemas.openxmlformats.org/officeDocument/2006/relationships" r:id="rId3"/>
          <a:extLst>
            <a:ext uri="{FF2B5EF4-FFF2-40B4-BE49-F238E27FC236}">
              <a16:creationId xmlns:a16="http://schemas.microsoft.com/office/drawing/2014/main" id="{AD4F6A9B-B333-4DDA-8304-DDF28344C2E9}"/>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4807333" y="1375833"/>
          <a:ext cx="522817" cy="543704"/>
        </a:xfrm>
        <a:prstGeom prst="rect">
          <a:avLst/>
        </a:prstGeom>
      </xdr:spPr>
    </xdr:pic>
    <xdr:clientData/>
  </xdr:twoCellAnchor>
  <xdr:twoCellAnchor editAs="oneCell">
    <xdr:from>
      <xdr:col>0</xdr:col>
      <xdr:colOff>84666</xdr:colOff>
      <xdr:row>0</xdr:row>
      <xdr:rowOff>63500</xdr:rowOff>
    </xdr:from>
    <xdr:to>
      <xdr:col>0</xdr:col>
      <xdr:colOff>800862</xdr:colOff>
      <xdr:row>1</xdr:row>
      <xdr:rowOff>92258</xdr:rowOff>
    </xdr:to>
    <xdr:pic>
      <xdr:nvPicPr>
        <xdr:cNvPr id="6" name="Afbeelding 5">
          <a:hlinkClick xmlns:r="http://schemas.openxmlformats.org/officeDocument/2006/relationships" r:id="rId6"/>
          <a:extLst>
            <a:ext uri="{FF2B5EF4-FFF2-40B4-BE49-F238E27FC236}">
              <a16:creationId xmlns:a16="http://schemas.microsoft.com/office/drawing/2014/main" id="{0EB0AAC9-342E-4E87-A495-0BFCCD5D7E69}"/>
            </a:ext>
          </a:extLst>
        </xdr:cNvPr>
        <xdr:cNvPicPr>
          <a:picLocks noChangeAspect="1"/>
        </xdr:cNvPicPr>
      </xdr:nvPicPr>
      <xdr:blipFill>
        <a:blip xmlns:r="http://schemas.openxmlformats.org/officeDocument/2006/relationships" r:embed="rId7"/>
        <a:stretch>
          <a:fillRect/>
        </a:stretch>
      </xdr:blipFill>
      <xdr:spPr>
        <a:xfrm>
          <a:off x="84666" y="63500"/>
          <a:ext cx="716196" cy="399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3217235</xdr:colOff>
      <xdr:row>0</xdr:row>
      <xdr:rowOff>76501</xdr:rowOff>
    </xdr:from>
    <xdr:to>
      <xdr:col>11</xdr:col>
      <xdr:colOff>1954</xdr:colOff>
      <xdr:row>1</xdr:row>
      <xdr:rowOff>85145</xdr:rowOff>
    </xdr:to>
    <xdr:pic>
      <xdr:nvPicPr>
        <xdr:cNvPr id="4" name="Picture 4" descr="Pensioenfonds Vervoer Profile: Commitments &amp; Mandates | PitchBook">
          <a:extLst>
            <a:ext uri="{FF2B5EF4-FFF2-40B4-BE49-F238E27FC236}">
              <a16:creationId xmlns:a16="http://schemas.microsoft.com/office/drawing/2014/main" id="{72A2311B-129E-5E36-7030-EDCB3DB586D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36921" b="36507"/>
        <a:stretch>
          <a:fillRect/>
        </a:stretch>
      </xdr:blipFill>
      <xdr:spPr bwMode="auto">
        <a:xfrm>
          <a:off x="16647485" y="76501"/>
          <a:ext cx="1105259" cy="282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1866361</xdr:colOff>
      <xdr:row>0</xdr:row>
      <xdr:rowOff>66674</xdr:rowOff>
    </xdr:from>
    <xdr:to>
      <xdr:col>4</xdr:col>
      <xdr:colOff>206614</xdr:colOff>
      <xdr:row>1</xdr:row>
      <xdr:rowOff>304405</xdr:rowOff>
    </xdr:to>
    <xdr:pic>
      <xdr:nvPicPr>
        <xdr:cNvPr id="5" name="Afbeelding 4">
          <a:extLst>
            <a:ext uri="{FF2B5EF4-FFF2-40B4-BE49-F238E27FC236}">
              <a16:creationId xmlns:a16="http://schemas.microsoft.com/office/drawing/2014/main" id="{3A67EF39-58E4-2F51-47DD-EEC8782EF916}"/>
            </a:ext>
            <a:ext uri="{147F2762-F138-4A5C-976F-8EAC2B608ADB}">
              <a16:predDERef xmlns:a16="http://schemas.microsoft.com/office/drawing/2014/main" pred="{72A2311B-129E-5E36-7030-EDCB3DB586D4}"/>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aturation sat="66000"/>
                  </a14:imgEffect>
                  <a14:imgEffect>
                    <a14:brightnessContrast contrast="20000"/>
                  </a14:imgEffect>
                </a14:imgLayer>
              </a14:imgProps>
            </a:ext>
          </a:extLst>
        </a:blip>
        <a:stretch>
          <a:fillRect/>
        </a:stretch>
      </xdr:blipFill>
      <xdr:spPr>
        <a:xfrm>
          <a:off x="5533486" y="66674"/>
          <a:ext cx="397653" cy="50443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1312981</xdr:colOff>
      <xdr:row>28</xdr:row>
      <xdr:rowOff>130923</xdr:rowOff>
    </xdr:to>
    <xdr:pic>
      <xdr:nvPicPr>
        <xdr:cNvPr id="2" name="Afbeelding 1" descr="Logo">
          <a:extLst>
            <a:ext uri="{FF2B5EF4-FFF2-40B4-BE49-F238E27FC236}">
              <a16:creationId xmlns:a16="http://schemas.microsoft.com/office/drawing/2014/main" id="{5D7E5524-C686-49B1-958E-625CF63046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393" y="5821983"/>
          <a:ext cx="1186398" cy="51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1545091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12F3F26B-9CB7-4B25-8815-369977800E7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32559" y="5706168"/>
          <a:ext cx="2442347" cy="64990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95250</xdr:colOff>
      <xdr:row>0</xdr:row>
      <xdr:rowOff>63500</xdr:rowOff>
    </xdr:from>
    <xdr:to>
      <xdr:col>0</xdr:col>
      <xdr:colOff>811446</xdr:colOff>
      <xdr:row>1</xdr:row>
      <xdr:rowOff>92258</xdr:rowOff>
    </xdr:to>
    <xdr:pic>
      <xdr:nvPicPr>
        <xdr:cNvPr id="4" name="Afbeelding 3">
          <a:hlinkClick xmlns:r="http://schemas.openxmlformats.org/officeDocument/2006/relationships" r:id="rId3"/>
          <a:extLst>
            <a:ext uri="{FF2B5EF4-FFF2-40B4-BE49-F238E27FC236}">
              <a16:creationId xmlns:a16="http://schemas.microsoft.com/office/drawing/2014/main" id="{C16E4543-CD70-40A9-B80B-FBDC03B217A7}"/>
            </a:ext>
          </a:extLst>
        </xdr:cNvPr>
        <xdr:cNvPicPr>
          <a:picLocks noChangeAspect="1"/>
        </xdr:cNvPicPr>
      </xdr:nvPicPr>
      <xdr:blipFill>
        <a:blip xmlns:r="http://schemas.openxmlformats.org/officeDocument/2006/relationships" r:embed="rId4"/>
        <a:stretch>
          <a:fillRect/>
        </a:stretch>
      </xdr:blipFill>
      <xdr:spPr>
        <a:xfrm>
          <a:off x="95250" y="63500"/>
          <a:ext cx="716196" cy="3991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1312981</xdr:colOff>
      <xdr:row>28</xdr:row>
      <xdr:rowOff>130923</xdr:rowOff>
    </xdr:to>
    <xdr:pic>
      <xdr:nvPicPr>
        <xdr:cNvPr id="2" name="Afbeelding 1" descr="Logo">
          <a:extLst>
            <a:ext uri="{FF2B5EF4-FFF2-40B4-BE49-F238E27FC236}">
              <a16:creationId xmlns:a16="http://schemas.microsoft.com/office/drawing/2014/main" id="{2F4A1193-E1FD-4BCC-8DDA-101D71BE5C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08" y="5522898"/>
          <a:ext cx="1189573" cy="51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1545091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5FD709DC-CDD8-4B22-B3F5-DC1F5C30CDF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28749" y="5409623"/>
          <a:ext cx="2488067" cy="6511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84667</xdr:colOff>
      <xdr:row>0</xdr:row>
      <xdr:rowOff>84667</xdr:rowOff>
    </xdr:from>
    <xdr:to>
      <xdr:col>0</xdr:col>
      <xdr:colOff>800863</xdr:colOff>
      <xdr:row>1</xdr:row>
      <xdr:rowOff>113425</xdr:rowOff>
    </xdr:to>
    <xdr:pic>
      <xdr:nvPicPr>
        <xdr:cNvPr id="5" name="Afbeelding 4">
          <a:hlinkClick xmlns:r="http://schemas.openxmlformats.org/officeDocument/2006/relationships" r:id="rId3"/>
          <a:extLst>
            <a:ext uri="{FF2B5EF4-FFF2-40B4-BE49-F238E27FC236}">
              <a16:creationId xmlns:a16="http://schemas.microsoft.com/office/drawing/2014/main" id="{581C2299-2A02-4F49-A0E0-54A76D68A96A}"/>
            </a:ext>
          </a:extLst>
        </xdr:cNvPr>
        <xdr:cNvPicPr>
          <a:picLocks noChangeAspect="1"/>
        </xdr:cNvPicPr>
      </xdr:nvPicPr>
      <xdr:blipFill>
        <a:blip xmlns:r="http://schemas.openxmlformats.org/officeDocument/2006/relationships" r:embed="rId4"/>
        <a:stretch>
          <a:fillRect/>
        </a:stretch>
      </xdr:blipFill>
      <xdr:spPr>
        <a:xfrm>
          <a:off x="84667" y="84667"/>
          <a:ext cx="716196" cy="399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1312981</xdr:colOff>
      <xdr:row>28</xdr:row>
      <xdr:rowOff>130923</xdr:rowOff>
    </xdr:to>
    <xdr:pic>
      <xdr:nvPicPr>
        <xdr:cNvPr id="2" name="Afbeelding 1" descr="Logo">
          <a:extLst>
            <a:ext uri="{FF2B5EF4-FFF2-40B4-BE49-F238E27FC236}">
              <a16:creationId xmlns:a16="http://schemas.microsoft.com/office/drawing/2014/main" id="{898FAAD1-2CE6-43C8-8564-27731E399D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393" y="5821983"/>
          <a:ext cx="1186398" cy="51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1545091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FBAEC987-0CE2-482A-B265-5D5C433DC26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32559" y="5706168"/>
          <a:ext cx="2442347" cy="64990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74084</xdr:colOff>
      <xdr:row>0</xdr:row>
      <xdr:rowOff>74083</xdr:rowOff>
    </xdr:from>
    <xdr:to>
      <xdr:col>0</xdr:col>
      <xdr:colOff>790280</xdr:colOff>
      <xdr:row>1</xdr:row>
      <xdr:rowOff>102841</xdr:rowOff>
    </xdr:to>
    <xdr:pic>
      <xdr:nvPicPr>
        <xdr:cNvPr id="4" name="Afbeelding 3">
          <a:hlinkClick xmlns:r="http://schemas.openxmlformats.org/officeDocument/2006/relationships" r:id="rId3"/>
          <a:extLst>
            <a:ext uri="{FF2B5EF4-FFF2-40B4-BE49-F238E27FC236}">
              <a16:creationId xmlns:a16="http://schemas.microsoft.com/office/drawing/2014/main" id="{0D67EB53-69DF-4FE5-9BD0-DA09B3356EA7}"/>
            </a:ext>
          </a:extLst>
        </xdr:cNvPr>
        <xdr:cNvPicPr>
          <a:picLocks noChangeAspect="1"/>
        </xdr:cNvPicPr>
      </xdr:nvPicPr>
      <xdr:blipFill>
        <a:blip xmlns:r="http://schemas.openxmlformats.org/officeDocument/2006/relationships" r:embed="rId4"/>
        <a:stretch>
          <a:fillRect/>
        </a:stretch>
      </xdr:blipFill>
      <xdr:spPr>
        <a:xfrm>
          <a:off x="74084" y="74083"/>
          <a:ext cx="716196" cy="399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1316791</xdr:colOff>
      <xdr:row>28</xdr:row>
      <xdr:rowOff>134733</xdr:rowOff>
    </xdr:to>
    <xdr:pic>
      <xdr:nvPicPr>
        <xdr:cNvPr id="2" name="Afbeelding 1" descr="Logo">
          <a:extLst>
            <a:ext uri="{FF2B5EF4-FFF2-40B4-BE49-F238E27FC236}">
              <a16:creationId xmlns:a16="http://schemas.microsoft.com/office/drawing/2014/main" id="{E5053562-AB3B-4EDD-B7B6-0A93A682F5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08" y="5465748"/>
          <a:ext cx="1189573" cy="51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1541281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1037196D-3FE7-40C3-AEA0-F83F97A73B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28749" y="5352473"/>
          <a:ext cx="2488067" cy="6511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74083</xdr:colOff>
      <xdr:row>0</xdr:row>
      <xdr:rowOff>95250</xdr:rowOff>
    </xdr:from>
    <xdr:to>
      <xdr:col>0</xdr:col>
      <xdr:colOff>790279</xdr:colOff>
      <xdr:row>1</xdr:row>
      <xdr:rowOff>124008</xdr:rowOff>
    </xdr:to>
    <xdr:pic>
      <xdr:nvPicPr>
        <xdr:cNvPr id="4" name="Afbeelding 3">
          <a:hlinkClick xmlns:r="http://schemas.openxmlformats.org/officeDocument/2006/relationships" r:id="rId3"/>
          <a:extLst>
            <a:ext uri="{FF2B5EF4-FFF2-40B4-BE49-F238E27FC236}">
              <a16:creationId xmlns:a16="http://schemas.microsoft.com/office/drawing/2014/main" id="{09674B8A-B0BE-4C68-AE7F-21327439188B}"/>
            </a:ext>
          </a:extLst>
        </xdr:cNvPr>
        <xdr:cNvPicPr>
          <a:picLocks noChangeAspect="1"/>
        </xdr:cNvPicPr>
      </xdr:nvPicPr>
      <xdr:blipFill>
        <a:blip xmlns:r="http://schemas.openxmlformats.org/officeDocument/2006/relationships" r:embed="rId4"/>
        <a:stretch>
          <a:fillRect/>
        </a:stretch>
      </xdr:blipFill>
      <xdr:spPr>
        <a:xfrm>
          <a:off x="74083" y="95250"/>
          <a:ext cx="722546" cy="399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1312981</xdr:colOff>
      <xdr:row>28</xdr:row>
      <xdr:rowOff>130923</xdr:rowOff>
    </xdr:to>
    <xdr:pic>
      <xdr:nvPicPr>
        <xdr:cNvPr id="2" name="Afbeelding 1" descr="Logo">
          <a:extLst>
            <a:ext uri="{FF2B5EF4-FFF2-40B4-BE49-F238E27FC236}">
              <a16:creationId xmlns:a16="http://schemas.microsoft.com/office/drawing/2014/main" id="{70874359-EB86-42A1-BC6C-54439315C5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393" y="5821983"/>
          <a:ext cx="1182588" cy="509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1545091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81D2646A-A8D5-419B-876A-09FAF25D5F1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32559" y="5706168"/>
          <a:ext cx="2446157" cy="64990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74084</xdr:colOff>
      <xdr:row>0</xdr:row>
      <xdr:rowOff>74083</xdr:rowOff>
    </xdr:from>
    <xdr:to>
      <xdr:col>0</xdr:col>
      <xdr:colOff>790280</xdr:colOff>
      <xdr:row>1</xdr:row>
      <xdr:rowOff>102841</xdr:rowOff>
    </xdr:to>
    <xdr:pic>
      <xdr:nvPicPr>
        <xdr:cNvPr id="4" name="Afbeelding 3">
          <a:hlinkClick xmlns:r="http://schemas.openxmlformats.org/officeDocument/2006/relationships" r:id="rId3"/>
          <a:extLst>
            <a:ext uri="{FF2B5EF4-FFF2-40B4-BE49-F238E27FC236}">
              <a16:creationId xmlns:a16="http://schemas.microsoft.com/office/drawing/2014/main" id="{3C567A77-8A3F-4C66-85B3-259C2E9479CB}"/>
            </a:ext>
          </a:extLst>
        </xdr:cNvPr>
        <xdr:cNvPicPr>
          <a:picLocks noChangeAspect="1"/>
        </xdr:cNvPicPr>
      </xdr:nvPicPr>
      <xdr:blipFill>
        <a:blip xmlns:r="http://schemas.openxmlformats.org/officeDocument/2006/relationships" r:embed="rId4"/>
        <a:stretch>
          <a:fillRect/>
        </a:stretch>
      </xdr:blipFill>
      <xdr:spPr>
        <a:xfrm>
          <a:off x="74084" y="74083"/>
          <a:ext cx="716196" cy="3991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1312981</xdr:colOff>
      <xdr:row>28</xdr:row>
      <xdr:rowOff>130923</xdr:rowOff>
    </xdr:to>
    <xdr:pic>
      <xdr:nvPicPr>
        <xdr:cNvPr id="2" name="Afbeelding 1" descr="Logo">
          <a:extLst>
            <a:ext uri="{FF2B5EF4-FFF2-40B4-BE49-F238E27FC236}">
              <a16:creationId xmlns:a16="http://schemas.microsoft.com/office/drawing/2014/main" id="{2744F1E9-F1FD-4CD7-AF58-25AFFF0782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08" y="5513373"/>
          <a:ext cx="1189573" cy="51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1545091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CD62D6D6-0F00-4616-8D5D-ADB77691728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28749" y="5400098"/>
          <a:ext cx="2488067" cy="6511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74083</xdr:colOff>
      <xdr:row>0</xdr:row>
      <xdr:rowOff>63500</xdr:rowOff>
    </xdr:from>
    <xdr:to>
      <xdr:col>0</xdr:col>
      <xdr:colOff>790279</xdr:colOff>
      <xdr:row>1</xdr:row>
      <xdr:rowOff>92258</xdr:rowOff>
    </xdr:to>
    <xdr:pic>
      <xdr:nvPicPr>
        <xdr:cNvPr id="5" name="Afbeelding 4">
          <a:hlinkClick xmlns:r="http://schemas.openxmlformats.org/officeDocument/2006/relationships" r:id="rId3"/>
          <a:extLst>
            <a:ext uri="{FF2B5EF4-FFF2-40B4-BE49-F238E27FC236}">
              <a16:creationId xmlns:a16="http://schemas.microsoft.com/office/drawing/2014/main" id="{B16850A2-2C9D-4FA4-8FD7-3C4D503D0868}"/>
            </a:ext>
          </a:extLst>
        </xdr:cNvPr>
        <xdr:cNvPicPr>
          <a:picLocks noChangeAspect="1"/>
        </xdr:cNvPicPr>
      </xdr:nvPicPr>
      <xdr:blipFill>
        <a:blip xmlns:r="http://schemas.openxmlformats.org/officeDocument/2006/relationships" r:embed="rId4"/>
        <a:stretch>
          <a:fillRect/>
        </a:stretch>
      </xdr:blipFill>
      <xdr:spPr>
        <a:xfrm>
          <a:off x="74083" y="63500"/>
          <a:ext cx="716196" cy="3991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1312981</xdr:colOff>
      <xdr:row>28</xdr:row>
      <xdr:rowOff>130923</xdr:rowOff>
    </xdr:to>
    <xdr:pic>
      <xdr:nvPicPr>
        <xdr:cNvPr id="2" name="Afbeelding 1" descr="Logo">
          <a:extLst>
            <a:ext uri="{FF2B5EF4-FFF2-40B4-BE49-F238E27FC236}">
              <a16:creationId xmlns:a16="http://schemas.microsoft.com/office/drawing/2014/main" id="{7FE1E4BA-07BB-4C71-9859-0D39391BD3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08" y="5522898"/>
          <a:ext cx="1193383" cy="517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1545091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51598569-FF60-442C-9DA2-7FA7E3F00E8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28749" y="5409623"/>
          <a:ext cx="2484257" cy="6511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74084</xdr:colOff>
      <xdr:row>0</xdr:row>
      <xdr:rowOff>63500</xdr:rowOff>
    </xdr:from>
    <xdr:to>
      <xdr:col>0</xdr:col>
      <xdr:colOff>788375</xdr:colOff>
      <xdr:row>1</xdr:row>
      <xdr:rowOff>96068</xdr:rowOff>
    </xdr:to>
    <xdr:pic>
      <xdr:nvPicPr>
        <xdr:cNvPr id="5" name="Afbeelding 4">
          <a:hlinkClick xmlns:r="http://schemas.openxmlformats.org/officeDocument/2006/relationships" r:id="rId3"/>
          <a:extLst>
            <a:ext uri="{FF2B5EF4-FFF2-40B4-BE49-F238E27FC236}">
              <a16:creationId xmlns:a16="http://schemas.microsoft.com/office/drawing/2014/main" id="{53C9671A-1101-42A2-B9BA-504DDE357072}"/>
            </a:ext>
          </a:extLst>
        </xdr:cNvPr>
        <xdr:cNvPicPr>
          <a:picLocks noChangeAspect="1"/>
        </xdr:cNvPicPr>
      </xdr:nvPicPr>
      <xdr:blipFill>
        <a:blip xmlns:r="http://schemas.openxmlformats.org/officeDocument/2006/relationships" r:embed="rId4"/>
        <a:stretch>
          <a:fillRect/>
        </a:stretch>
      </xdr:blipFill>
      <xdr:spPr>
        <a:xfrm>
          <a:off x="74084" y="63500"/>
          <a:ext cx="716196" cy="3991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1312981</xdr:colOff>
      <xdr:row>28</xdr:row>
      <xdr:rowOff>130923</xdr:rowOff>
    </xdr:to>
    <xdr:pic>
      <xdr:nvPicPr>
        <xdr:cNvPr id="2" name="Afbeelding 1" descr="Logo">
          <a:extLst>
            <a:ext uri="{FF2B5EF4-FFF2-40B4-BE49-F238E27FC236}">
              <a16:creationId xmlns:a16="http://schemas.microsoft.com/office/drawing/2014/main" id="{E3B09A74-BDA2-485D-A08B-5B7D482B01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393" y="5660058"/>
          <a:ext cx="1182588" cy="509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1545091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9C3AADF7-EC43-42D9-ACB3-050D07E1F58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32559" y="5544243"/>
          <a:ext cx="2446157" cy="64990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74084</xdr:colOff>
      <xdr:row>0</xdr:row>
      <xdr:rowOff>63500</xdr:rowOff>
    </xdr:from>
    <xdr:to>
      <xdr:col>0</xdr:col>
      <xdr:colOff>780755</xdr:colOff>
      <xdr:row>1</xdr:row>
      <xdr:rowOff>96068</xdr:rowOff>
    </xdr:to>
    <xdr:pic>
      <xdr:nvPicPr>
        <xdr:cNvPr id="4" name="Afbeelding 3">
          <a:hlinkClick xmlns:r="http://schemas.openxmlformats.org/officeDocument/2006/relationships" r:id="rId3"/>
          <a:extLst>
            <a:ext uri="{FF2B5EF4-FFF2-40B4-BE49-F238E27FC236}">
              <a16:creationId xmlns:a16="http://schemas.microsoft.com/office/drawing/2014/main" id="{CE89049F-8629-4569-A87C-BC782C4278FE}"/>
            </a:ext>
          </a:extLst>
        </xdr:cNvPr>
        <xdr:cNvPicPr>
          <a:picLocks noChangeAspect="1"/>
        </xdr:cNvPicPr>
      </xdr:nvPicPr>
      <xdr:blipFill>
        <a:blip xmlns:r="http://schemas.openxmlformats.org/officeDocument/2006/relationships" r:embed="rId4"/>
        <a:stretch>
          <a:fillRect/>
        </a:stretch>
      </xdr:blipFill>
      <xdr:spPr>
        <a:xfrm>
          <a:off x="74084" y="59690"/>
          <a:ext cx="714291" cy="3983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126583</xdr:colOff>
      <xdr:row>26</xdr:row>
      <xdr:rowOff>17448</xdr:rowOff>
    </xdr:from>
    <xdr:to>
      <xdr:col>0</xdr:col>
      <xdr:colOff>1316791</xdr:colOff>
      <xdr:row>28</xdr:row>
      <xdr:rowOff>134733</xdr:rowOff>
    </xdr:to>
    <xdr:pic>
      <xdr:nvPicPr>
        <xdr:cNvPr id="2" name="Afbeelding 1" descr="Logo">
          <a:extLst>
            <a:ext uri="{FF2B5EF4-FFF2-40B4-BE49-F238E27FC236}">
              <a16:creationId xmlns:a16="http://schemas.microsoft.com/office/drawing/2014/main" id="{27336843-CFE9-448C-B98F-7B11F6FA77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408" y="5513373"/>
          <a:ext cx="1193383" cy="517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1428749</xdr:colOff>
      <xdr:row>25</xdr:row>
      <xdr:rowOff>107373</xdr:rowOff>
    </xdr:from>
    <xdr:to>
      <xdr:col>1</xdr:col>
      <xdr:colOff>1541281</xdr:colOff>
      <xdr:row>28</xdr:row>
      <xdr:rowOff>155298</xdr:rowOff>
    </xdr:to>
    <xdr:pic>
      <xdr:nvPicPr>
        <xdr:cNvPr id="3" name="Afbeelding 2" descr="Alle voorwaardelijke pensioenen omgezet in gewoon pensioen - FNV">
          <a:extLst>
            <a:ext uri="{FF2B5EF4-FFF2-40B4-BE49-F238E27FC236}">
              <a16:creationId xmlns:a16="http://schemas.microsoft.com/office/drawing/2014/main" id="{99263A3A-F80A-49C9-BA0E-78064197588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9424" r="6652" b="24575"/>
        <a:stretch>
          <a:fillRect/>
        </a:stretch>
      </xdr:blipFill>
      <xdr:spPr bwMode="auto">
        <a:xfrm>
          <a:off x="1428749" y="5400098"/>
          <a:ext cx="2484257" cy="6511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84666</xdr:colOff>
      <xdr:row>0</xdr:row>
      <xdr:rowOff>74084</xdr:rowOff>
    </xdr:from>
    <xdr:to>
      <xdr:col>0</xdr:col>
      <xdr:colOff>800862</xdr:colOff>
      <xdr:row>1</xdr:row>
      <xdr:rowOff>102842</xdr:rowOff>
    </xdr:to>
    <xdr:pic>
      <xdr:nvPicPr>
        <xdr:cNvPr id="5" name="Afbeelding 4">
          <a:hlinkClick xmlns:r="http://schemas.openxmlformats.org/officeDocument/2006/relationships" r:id="rId3"/>
          <a:extLst>
            <a:ext uri="{FF2B5EF4-FFF2-40B4-BE49-F238E27FC236}">
              <a16:creationId xmlns:a16="http://schemas.microsoft.com/office/drawing/2014/main" id="{3C46907D-F2FA-4DEC-94AB-76F9C3D6611F}"/>
            </a:ext>
          </a:extLst>
        </xdr:cNvPr>
        <xdr:cNvPicPr>
          <a:picLocks noChangeAspect="1"/>
        </xdr:cNvPicPr>
      </xdr:nvPicPr>
      <xdr:blipFill>
        <a:blip xmlns:r="http://schemas.openxmlformats.org/officeDocument/2006/relationships" r:embed="rId4"/>
        <a:stretch>
          <a:fillRect/>
        </a:stretch>
      </xdr:blipFill>
      <xdr:spPr>
        <a:xfrm>
          <a:off x="84666" y="74084"/>
          <a:ext cx="716196" cy="3991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828E62-E6C4-4A70-BF6E-7F413F33D049}" name="Tabel1" displayName="Tabel1" ref="E1:U14" totalsRowShown="0" headerRowDxfId="523" dataDxfId="521" headerRowBorderDxfId="522" tableBorderDxfId="520" totalsRowBorderDxfId="519">
  <autoFilter ref="E1:U14" xr:uid="{02828E62-E6C4-4A70-BF6E-7F413F33D049}"/>
  <tableColumns count="17">
    <tableColumn id="1" xr3:uid="{84A5D312-95F8-4653-880B-98F35555FA71}" name="Inkomstenperiode" dataDxfId="518">
      <calculatedColumnFormula>IF(E1="december","",IF(Verloningsperiodiciteit="maandelijks",rekenwaarden!F3,_xlfn.CONCAT("Periode ",rekenwaarden!E3)))</calculatedColumnFormula>
    </tableColumn>
    <tableColumn id="2" xr3:uid="{7A57C46C-8D90-47E1-813C-961883E30CF8}" name="DatAanvTv" dataDxfId="517">
      <calculatedColumnFormula>IF(AND($B$4="",AD2=""),"",VLOOKUP($B$4,IF(Verloningsperiodiciteit="Vierwekelijks",rekenwaarden!C3:C55,rekenwaarden!I3:I50),1,TRUE))</calculatedColumnFormula>
    </tableColumn>
    <tableColumn id="3" xr3:uid="{FBF7CCEE-F320-41A3-A629-F40B95ABD503}" name="DatEindTv" dataDxfId="516">
      <calculatedColumnFormula>IF(F2="", "", IF(Verloningsperiodiciteit="Vierwekelijks", _xlfn.XLOOKUP(F2,rekenwaarden!$C$3:$C$54,rekenwaarden!$D$3:$D$54,"niet gevonden",-1), _xlfn.XLOOKUP(F2,rekenwaarden!$I$3:$I$54,rekenwaarden!$J$3:$J$54,"niet gevonden",-1)))</calculatedColumnFormula>
    </tableColumn>
    <tableColumn id="18" xr3:uid="{835995AE-0736-489C-A2C3-1D20790F7954}" name="Leeftijd" dataDxfId="515">
      <calculatedColumnFormula>IF(Tabel1[[#This Row],[Inkomstenperiode]]="","",DATEDIF(Geboortedatum,Tabel1[[#This Row],[DatEindTv]],"Y"))</calculatedColumnFormula>
    </tableColumn>
    <tableColumn id="5" xr3:uid="{6590809F-D69F-430B-8F31-6FE80E4BA8BD}" name="DatAanvIKV" dataDxfId="514">
      <calculatedColumnFormula>IF(Tabel1[[#This Row],[Inkomstenperiode]]="","",IF(Datum_Aanvang_IKV="","",Datum_Aanvang_IKV))</calculatedColumnFormula>
    </tableColumn>
    <tableColumn id="6" xr3:uid="{E2C43E88-9210-4AFF-A0DE-9F686574FC5B}" name="DatEindIKV" dataDxfId="513">
      <calculatedColumnFormula>IF(Tabel1[[#This Row],[Inkomstenperiode]]="","",IF(Datum_Einde_IKV="","",Datum_Einde_IKV))</calculatedColumnFormula>
    </tableColumn>
    <tableColumn id="7" xr3:uid="{589FA516-D095-46D3-ADC3-F9AB432EA87B}" name="CdRdnEindArbov" dataDxfId="512"/>
    <tableColumn id="8" xr3:uid="{17F936CC-B1EE-4A20-AD4A-897F19DD25CF}" name="SrtIV" dataDxfId="511"/>
    <tableColumn id="9" xr3:uid="{042F8A70-8B05-40E0-B4E1-860DE2C964A3}" name="CdAard" dataDxfId="510"/>
    <tableColumn id="16" xr3:uid="{CF840CB1-DF61-494D-BA17-4009E0F07C20}" name="AantVerlU" dataDxfId="509"/>
    <tableColumn id="10" xr3:uid="{4BD713A0-FFA6-4363-83D9-90729CD1D4D3}" name="LnSV" dataDxfId="508" dataCellStyle="Valuta"/>
    <tableColumn id="11" xr3:uid="{3431E44F-F2F1-4F03-B59E-A4BB4C996E96}" name="VakBsl" dataDxfId="507" dataCellStyle="Valuta"/>
    <tableColumn id="12" xr3:uid="{AC82CBBA-F964-400F-A092-B0E7BDE0B3D6}" name="OpgRchtVakBsl" dataDxfId="506" dataCellStyle="Valuta"/>
    <tableColumn id="13" xr3:uid="{32ACCEA1-1E3C-44B7-84CF-948A6B78867E}" name="OpnAvwb" dataDxfId="505" dataCellStyle="Valuta"/>
    <tableColumn id="14" xr3:uid="{D7C2FF5D-8605-4FEE-B9C2-F06AECDCFDEA}" name="OpbAvwb" dataDxfId="504" dataCellStyle="Valuta"/>
    <tableColumn id="15" xr3:uid="{D7DD43B7-7AB0-4104-9B44-3F1E85A73DA1}" name="LnInGld" dataDxfId="503" dataCellStyle="Valuta"/>
    <tableColumn id="4" xr3:uid="{67FF124C-9F65-4890-AD86-1AEF3F3A3806}" name="&lt;RegLn&gt;" dataDxfId="502" dataCellStyle="Valuta">
      <calculatedColumnFormula>IF(Tabel1[[#This Row],[Inkomstenperiode]]="","",IF(OR(Tabel1[[#This Row],[Leeftijd]]&lt;18,Tabel1[[#This Row],[Leeftijd]]&gt;=68),0,IF(Tabel1[[#This Row],[CdRdnEindArbov]]=33,0,IF(AND(OR(Tabel1[[#This Row],[SrtIV]]=13,Tabel1[[#This Row],[SrtIV]]=15,Tabel1[[#This Row],[SrtIV]]=31),OR(Tabel1[[#This Row],[CdAard]]=1,Tabel1[[#This Row],[CdAard]]=11,Tabel1[[#This Row],[CdAard]]=82,Tabel1[[#This Row],[CdAard]]=83)),Tabel1[[#This Row],[LnInGld]]+Tabel1[[#This Row],[OpgRchtVakBsl]]-Tabel1[[#This Row],[VakBsl]]+Tabel1[[#This Row],[OpbAvwb]]-Tabel1[[#This Row],[OpnAvwb]],0))))</calculatedColumnFormula>
    </tableColumn>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4753350-07CA-4E16-B207-20C82845581B}" name="Tabel13536151617" displayName="Tabel13536151617" ref="E1:Y14" totalsRowShown="0" headerRowDxfId="293" dataDxfId="291" headerRowBorderDxfId="292" tableBorderDxfId="290" totalsRowBorderDxfId="289">
  <autoFilter ref="E1:Y14" xr:uid="{02828E62-E6C4-4A70-BF6E-7F413F33D049}"/>
  <tableColumns count="21">
    <tableColumn id="1" xr3:uid="{2423B268-8330-46D5-B4AA-64064DEAA942}" name="Inkomsten-periode" dataDxfId="288">
      <calculatedColumnFormula>IF(OR(Datum_Einde_IKV="",Tabel13536151617[[#This Row],[DatAanvTv]]&lt;Datum_Einde_IKV),IF(E1="december","",IF(Verloningsperiodiciteit="maandelijks",rekenwaarden!F3,_xlfn.CONCAT("Periode ",rekenwaarden!E3))),"")</calculatedColumnFormula>
    </tableColumn>
    <tableColumn id="2" xr3:uid="{9B7FC420-007C-43E1-A616-FE2B6BD92D3E}" name="DatAanvTv" dataDxfId="287">
      <calculatedColumnFormula>IF(AND($B$4="",AE2=""),"",VLOOKUP($B$4,IF(Verloningsperiodiciteit="Vierwekelijks",rekenwaarden!C3:C55,rekenwaarden!I3:I50),1,TRUE))</calculatedColumnFormula>
    </tableColumn>
    <tableColumn id="3" xr3:uid="{C2D68593-EEEF-4908-92EF-818F73F1B968}" name="DatEindTv" dataDxfId="286">
      <calculatedColumnFormula>IF(F2="", "", IF(Verloningsperiodiciteit="Vierwekelijks", _xlfn.XLOOKUP(F2,rekenwaarden!$C$3:$C$54,rekenwaarden!$D$3:$D$54,"niet gevonden",-1), _xlfn.XLOOKUP(F2,rekenwaarden!$I$3:$I$54,rekenwaarden!$J$3:$J$54,"niet gevonden",-1)))</calculatedColumnFormula>
    </tableColumn>
    <tableColumn id="18" xr3:uid="{9976E9DA-F303-45F8-A359-2531E27A4368}" name="Leeftijd" dataDxfId="285">
      <calculatedColumnFormula>IF(Tabel13536151617[[#This Row],[Inkomsten-periode]]="","",DATEDIF(Geboortedatum,Tabel13536151617[[#This Row],[DatEindTv]],"Y"))</calculatedColumnFormula>
    </tableColumn>
    <tableColumn id="5" xr3:uid="{E4A74C0F-61A4-4336-B7A3-33C895B0536E}" name="DatAanvIKV" dataDxfId="284">
      <calculatedColumnFormula>IF(Tabel13536151617[[#This Row],[Inkomsten-periode]]="","",IF(Datum_Aanvang_IKV="","",Datum_Aanvang_IKV))</calculatedColumnFormula>
    </tableColumn>
    <tableColumn id="6" xr3:uid="{58C8579C-BABB-4DFA-B740-8BAC590AD5D9}" name="DatEindIKV" dataDxfId="283">
      <calculatedColumnFormula>IF(Tabel13536151617[[#This Row],[Inkomsten-periode]]="","",IF(Datum_Einde_IKV="","",IF(Datum_Einde_IKV&lt;=Tabel13536151617[[#This Row],[DatEindTv]],Datum_Einde_IKV,"")))</calculatedColumnFormula>
    </tableColumn>
    <tableColumn id="7" xr3:uid="{AEC8D816-381B-4F5A-9E97-191EBE81288F}" name="CdRdnEindArbov" dataDxfId="282"/>
    <tableColumn id="8" xr3:uid="{E61A160B-5D85-4718-93E8-B0F44224E378}" name="SrtIV" dataDxfId="281"/>
    <tableColumn id="9" xr3:uid="{0FBA5ADC-CCE3-4AB5-BB03-55F6BAEB6851}" name="CdAard" dataDxfId="280"/>
    <tableColumn id="16" xr3:uid="{8F9D7D7C-B53C-4ACC-B11E-A900E4FE51D8}" name="AantVerlU" dataDxfId="279"/>
    <tableColumn id="10" xr3:uid="{F310D20A-CD84-40B3-BEE7-69C25DE16416}" name="LnSV" dataDxfId="278" dataCellStyle="Valuta"/>
    <tableColumn id="11" xr3:uid="{70B2B106-56A7-4FFB-8C51-4768C121AA9F}" name="VakBsl" dataDxfId="277" dataCellStyle="Valuta"/>
    <tableColumn id="12" xr3:uid="{863FE510-D803-4DC4-BF95-E33B24E09BD7}" name="OpgRchtVakBsl" dataDxfId="276" dataCellStyle="Valuta">
      <calculatedColumnFormula>0.08*Tabel13536151617[[#This Row],[LnSV]]</calculatedColumnFormula>
    </tableColumn>
    <tableColumn id="13" xr3:uid="{90ECCF32-A469-42E2-B04D-2A383265BDA1}" name="OpnAvwb" dataDxfId="275" dataCellStyle="Valuta"/>
    <tableColumn id="14" xr3:uid="{873189A6-C7F9-4454-8878-0B663F3D0C58}" name="OpbAvwb" dataDxfId="274" dataCellStyle="Valuta"/>
    <tableColumn id="15" xr3:uid="{1F4B2433-51A8-4E0F-BDAE-87806506B2D8}" name="LnInGld" dataDxfId="273" dataCellStyle="Valuta"/>
    <tableColumn id="21" xr3:uid="{0C78B417-82D1-4D02-A929-6B796B07665C}" name="CdIncInkVerm" dataDxfId="272" dataCellStyle="Valuta"/>
    <tableColumn id="4" xr3:uid="{62282A33-6229-423E-ABD3-FB831A398065}" name="&lt;RegLn&gt;" dataDxfId="271" dataCellStyle="Valuta">
      <calculatedColumnFormula>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Row],[OpnAvwb]],0))))</calculatedColumnFormula>
    </tableColumn>
    <tableColumn id="17" xr3:uid="{18DBF5E4-C0DE-42EB-AA5F-DF1781E4EFC4}" name="&lt;RegUren&gt;" dataDxfId="270" dataCellStyle="Valuta">
      <calculatedColumnFormula>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Row],[AantVerlU]],0))))</calculatedColumnFormula>
    </tableColumn>
    <tableColumn id="19" xr3:uid="{E9A551D4-AE07-4D26-B744-9A7C31A5A77A}" name="Loon na einde IKV" dataDxfId="269" dataCellStyle="Valuta">
      <calculatedColumnFormula>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calculatedColumnFormula>
    </tableColumn>
    <tableColumn id="20" xr3:uid="{9B8BEE0D-C3D0-4E73-9444-DE9403FF2FA1}" name="Uren na einde IKV" dataDxfId="268" dataCellStyle="Valuta">
      <calculatedColumnFormula>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calculatedColumnFormula>
    </tableColumn>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C66E2BB-EEB8-4740-A093-96CFF175D321}" name="Tabel13536151618" displayName="Tabel13536151618" ref="E1:Y14" totalsRowShown="0" headerRowDxfId="267" dataDxfId="265" headerRowBorderDxfId="266" tableBorderDxfId="264" totalsRowBorderDxfId="263">
  <autoFilter ref="E1:Y14" xr:uid="{02828E62-E6C4-4A70-BF6E-7F413F33D049}"/>
  <tableColumns count="21">
    <tableColumn id="1" xr3:uid="{EB4C7E41-6225-4409-9CC6-39A487C9782F}" name="Inkomsten-periode" dataDxfId="262">
      <calculatedColumnFormula>IF(OR(Datum_Einde_IKV="",Tabel13536151618[[#This Row],[DatAanvTv]]&lt;Datum_Einde_IKV),IF(E1="december","",IF(Verloningsperiodiciteit="maandelijks",rekenwaarden!F3,_xlfn.CONCAT("Periode ",rekenwaarden!E3))),"")</calculatedColumnFormula>
    </tableColumn>
    <tableColumn id="2" xr3:uid="{C8C0FA63-A9E6-4BCD-ABA4-E8401E8BF978}" name="DatAanvTv" dataDxfId="261">
      <calculatedColumnFormula>IF(AND($B$4="",AE2=""),"",VLOOKUP($B$4,IF(Verloningsperiodiciteit="Vierwekelijks",rekenwaarden!C3:C55,rekenwaarden!I3:I50),1,TRUE))</calculatedColumnFormula>
    </tableColumn>
    <tableColumn id="3" xr3:uid="{5029F5A7-CCCD-4F6F-BC90-33C692DD2933}" name="DatEindTv" dataDxfId="260">
      <calculatedColumnFormula>IF(F2="", "", IF(Verloningsperiodiciteit="Vierwekelijks", _xlfn.XLOOKUP(F2,rekenwaarden!$C$3:$C$54,rekenwaarden!$D$3:$D$54,"niet gevonden",-1), _xlfn.XLOOKUP(F2,rekenwaarden!$I$3:$I$54,rekenwaarden!$J$3:$J$54,"niet gevonden",-1)))</calculatedColumnFormula>
    </tableColumn>
    <tableColumn id="18" xr3:uid="{93FD5624-1D7C-4E21-AE57-4CBB20707180}" name="Leeftijd" dataDxfId="259">
      <calculatedColumnFormula>IF(Tabel13536151618[[#This Row],[Inkomsten-periode]]="","",DATEDIF(Geboortedatum,Tabel13536151618[[#This Row],[DatEindTv]],"Y"))</calculatedColumnFormula>
    </tableColumn>
    <tableColumn id="5" xr3:uid="{CF1252FC-1EA7-45CD-B6CB-35D337203A0E}" name="DatAanvIKV" dataDxfId="258">
      <calculatedColumnFormula>IF(Tabel13536151618[[#This Row],[Inkomsten-periode]]="","",IF(Datum_Aanvang_IKV="","",Datum_Aanvang_IKV))</calculatedColumnFormula>
    </tableColumn>
    <tableColumn id="6" xr3:uid="{55043E5F-4CD2-4A11-ADC0-B4C3FAC53467}" name="DatEindIKV" dataDxfId="257">
      <calculatedColumnFormula>IF(Tabel13536151618[[#This Row],[Inkomsten-periode]]="","",IF(Datum_Einde_IKV="","",IF(Datum_Einde_IKV&lt;=Tabel13536151618[[#This Row],[DatEindTv]],Datum_Einde_IKV,"")))</calculatedColumnFormula>
    </tableColumn>
    <tableColumn id="7" xr3:uid="{7C88BD3A-0F4F-4CC7-83DC-00972B19B12B}" name="CdRdnEindArbov" dataDxfId="256"/>
    <tableColumn id="8" xr3:uid="{4A4714DE-7334-436C-8F94-807273CECFC7}" name="SrtIV" dataDxfId="255"/>
    <tableColumn id="9" xr3:uid="{D4C8EE94-D318-4E41-B34E-59BE9682B2D2}" name="CdAard" dataDxfId="254"/>
    <tableColumn id="16" xr3:uid="{B858CA10-3F4D-484A-A0BF-F30FE5F5B5F9}" name="AantVerlU" dataDxfId="253"/>
    <tableColumn id="10" xr3:uid="{827650C6-E7A9-427F-BE05-7788DD13EE11}" name="LnSV" dataDxfId="252" dataCellStyle="Valuta"/>
    <tableColumn id="11" xr3:uid="{04E59492-AE16-49CF-865E-FAB778C127C9}" name="VakBsl" dataDxfId="251" dataCellStyle="Valuta"/>
    <tableColumn id="12" xr3:uid="{D73B161D-2A14-4D65-A1F6-703038AC97AF}" name="OpgRchtVakBsl" dataDxfId="250" dataCellStyle="Valuta">
      <calculatedColumnFormula>0.08*Tabel13536151618[[#This Row],[LnSV]]</calculatedColumnFormula>
    </tableColumn>
    <tableColumn id="13" xr3:uid="{1E955D7C-F870-43C6-82A7-9A4E2C2EFB6B}" name="OpnAvwb" dataDxfId="249" dataCellStyle="Valuta"/>
    <tableColumn id="14" xr3:uid="{C9C8CE90-DA71-483E-87D3-1458CA6305FA}" name="OpbAvwb" dataDxfId="248" dataCellStyle="Valuta"/>
    <tableColumn id="15" xr3:uid="{61FA67FD-CEBC-42AF-BBE0-EF320396A71C}" name="LnInGld" dataDxfId="247" dataCellStyle="Valuta"/>
    <tableColumn id="21" xr3:uid="{E14990BA-1216-41B0-A564-CC830176A7B2}" name="CdIncInkVerm" dataDxfId="246" dataCellStyle="Valuta"/>
    <tableColumn id="4" xr3:uid="{D849951F-4F55-4B6B-9667-365069F86AD6}" name="&lt;RegLn&gt;" dataDxfId="245" dataCellStyle="Valuta">
      <calculatedColumnFormula>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Row],[OpnAvwb]],0))))</calculatedColumnFormula>
    </tableColumn>
    <tableColumn id="17" xr3:uid="{CBA9A079-778C-4957-9BF6-823D966265C9}" name="&lt;RegUren&gt;" dataDxfId="244" dataCellStyle="Valuta">
      <calculatedColumnFormula>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Row],[AantVerlU]],0))))</calculatedColumnFormula>
    </tableColumn>
    <tableColumn id="19" xr3:uid="{905481AC-109A-43C7-BEC3-3EA5143EDE6E}" name="Loon na einde IKV" dataDxfId="243" dataCellStyle="Valuta">
      <calculatedColumnFormula>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calculatedColumnFormula>
    </tableColumn>
    <tableColumn id="20" xr3:uid="{85329252-C24D-4390-83F3-EA3F244CAD0C}" name="Uren na einde IKV" dataDxfId="242" dataCellStyle="Valuta">
      <calculatedColumnFormula>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calculatedColumnFormula>
    </tableColumn>
  </tableColumns>
  <tableStyleInfo name="TableStyleMedium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B73560C-0764-4C80-8F8F-B63F8CF7E4F7}" name="Tabel1353615161819" displayName="Tabel1353615161819" ref="E1:Y14" totalsRowShown="0" headerRowDxfId="241" dataDxfId="239" headerRowBorderDxfId="240" tableBorderDxfId="238" totalsRowBorderDxfId="237">
  <autoFilter ref="E1:Y14" xr:uid="{02828E62-E6C4-4A70-BF6E-7F413F33D049}"/>
  <tableColumns count="21">
    <tableColumn id="1" xr3:uid="{C0DF63D6-08BA-4BA2-917D-C28B8F4BE55D}" name="Inkomsten-periode" dataDxfId="236">
      <calculatedColumnFormula>IF(OR(Datum_Einde_IKV="",Tabel1353615161819[[#This Row],[DatAanvTv]]&lt;Datum_Einde_IKV),IF(E1="december","",IF(Verloningsperiodiciteit="maandelijks",rekenwaarden!F3,_xlfn.CONCAT("Periode ",rekenwaarden!E3))),"")</calculatedColumnFormula>
    </tableColumn>
    <tableColumn id="2" xr3:uid="{0AA918BB-A877-4806-87F3-87ED55393BFF}" name="DatAanvTv" dataDxfId="235">
      <calculatedColumnFormula>IF(AND($B$4="",AE2=""),"",VLOOKUP($B$4,IF(Verloningsperiodiciteit="Vierwekelijks",rekenwaarden!C3:C55,rekenwaarden!I3:I50),1,TRUE))</calculatedColumnFormula>
    </tableColumn>
    <tableColumn id="3" xr3:uid="{49864584-643A-49B6-893A-39A787F9ED7C}" name="DatEindTv" dataDxfId="234">
      <calculatedColumnFormula>IF(F2="", "", IF(Verloningsperiodiciteit="Vierwekelijks", _xlfn.XLOOKUP(F2,rekenwaarden!$C$3:$C$54,rekenwaarden!$D$3:$D$54,"niet gevonden",-1), _xlfn.XLOOKUP(F2,rekenwaarden!$I$3:$I$54,rekenwaarden!$J$3:$J$54,"niet gevonden",-1)))</calculatedColumnFormula>
    </tableColumn>
    <tableColumn id="18" xr3:uid="{EAE57328-F0D1-42F6-8D74-A651FF23DDBD}" name="Leeftijd" dataDxfId="233">
      <calculatedColumnFormula>IF(Tabel1353615161819[[#This Row],[Inkomsten-periode]]="","",DATEDIF(Geboortedatum,Tabel1353615161819[[#This Row],[DatEindTv]],"Y"))</calculatedColumnFormula>
    </tableColumn>
    <tableColumn id="5" xr3:uid="{A2F2894C-F9E8-4569-BACB-1E976CBCCDFA}" name="DatAanvIKV" dataDxfId="232">
      <calculatedColumnFormula>IF(Tabel1353615161819[[#This Row],[Inkomsten-periode]]="","",IF(Datum_Aanvang_IKV="","",Datum_Aanvang_IKV))</calculatedColumnFormula>
    </tableColumn>
    <tableColumn id="6" xr3:uid="{C6D706C1-3D8C-4655-B975-95BE6A3D3AD2}" name="DatEindIKV" dataDxfId="231">
      <calculatedColumnFormula>IF(Tabel1353615161819[[#This Row],[Inkomsten-periode]]="","",IF(Datum_Einde_IKV="","",IF(Datum_Einde_IKV&lt;=Tabel1353615161819[[#This Row],[DatEindTv]],Datum_Einde_IKV,"")))</calculatedColumnFormula>
    </tableColumn>
    <tableColumn id="7" xr3:uid="{46E78F4E-D6C2-4B32-891E-9D1B61A610A4}" name="CdRdnEindArbov" dataDxfId="230"/>
    <tableColumn id="8" xr3:uid="{EA116336-CE86-46C3-838C-DA9A6BF3FB5F}" name="SrtIV" dataDxfId="229"/>
    <tableColumn id="9" xr3:uid="{A272D806-0C55-4CDD-8A6A-E67FAB0EA718}" name="CdAard" dataDxfId="228"/>
    <tableColumn id="16" xr3:uid="{480B73A3-A385-4DD9-988B-DF8EF1DE2ED4}" name="AantVerlU" dataDxfId="227"/>
    <tableColumn id="10" xr3:uid="{6EE23981-DAC8-42D4-94E3-A0E2CA717E3E}" name="LnSV" dataDxfId="226" dataCellStyle="Valuta"/>
    <tableColumn id="11" xr3:uid="{E9E866A2-0363-4BE8-A731-0BC8DFCD6767}" name="VakBsl" dataDxfId="225" dataCellStyle="Valuta"/>
    <tableColumn id="12" xr3:uid="{7368F3A9-0643-4588-9A69-6432E48AC6F8}" name="OpgRchtVakBsl" dataDxfId="224" dataCellStyle="Valuta">
      <calculatedColumnFormula>0.08*Tabel1353615161819[[#This Row],[LnSV]]</calculatedColumnFormula>
    </tableColumn>
    <tableColumn id="13" xr3:uid="{622CE4B8-3C59-4D2E-A634-E8BFADB60682}" name="OpnAvwb" dataDxfId="223" dataCellStyle="Valuta"/>
    <tableColumn id="14" xr3:uid="{ECA9D64F-7B02-48E1-8E0B-FDC3C5B7CAB9}" name="OpbAvwb" dataDxfId="222" dataCellStyle="Valuta"/>
    <tableColumn id="15" xr3:uid="{0353B0EB-9808-4369-8893-78EF621F989C}" name="LnInGld" dataDxfId="221" dataCellStyle="Valuta"/>
    <tableColumn id="21" xr3:uid="{09D97C8E-3AD5-45C2-8ED1-60C0C5742CDB}" name="CdIncInkVerm" dataDxfId="220" dataCellStyle="Valuta"/>
    <tableColumn id="4" xr3:uid="{C387BA3A-E197-410D-B99F-980493D1D952}" name="&lt;RegLn&gt;" dataDxfId="219" dataCellStyle="Valuta">
      <calculatedColumnFormula>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Row],[OpnAvwb]],0))))</calculatedColumnFormula>
    </tableColumn>
    <tableColumn id="17" xr3:uid="{49474197-6B10-449C-80F0-6538F82890DD}" name="&lt;RegUren&gt;" dataDxfId="218" dataCellStyle="Valuta">
      <calculatedColumnFormula>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Row],[AantVerlU]],0))))</calculatedColumnFormula>
    </tableColumn>
    <tableColumn id="19" xr3:uid="{5F4DDEB4-9A51-4D07-8673-BC507FE348CA}" name="Loon na einde IKV" dataDxfId="217" dataCellStyle="Valuta">
      <calculatedColumnFormula>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calculatedColumnFormula>
    </tableColumn>
    <tableColumn id="20" xr3:uid="{3A405847-C58A-4C63-BEBA-9D1518EE11C5}" name="Uren na einde IKV" dataDxfId="216" dataCellStyle="Valuta">
      <calculatedColumnFormula>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calculatedColumnFormula>
    </tableColumn>
  </tableColumns>
  <tableStyleInfo name="TableStyleMedium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8F62459F-DB95-43EC-B5BB-5393D7FD682C}" name="Tabel135361516181920" displayName="Tabel135361516181920" ref="E1:Y14" totalsRowShown="0" headerRowDxfId="215" dataDxfId="213" headerRowBorderDxfId="214" tableBorderDxfId="212" totalsRowBorderDxfId="211">
  <autoFilter ref="E1:Y14" xr:uid="{02828E62-E6C4-4A70-BF6E-7F413F33D049}"/>
  <tableColumns count="21">
    <tableColumn id="1" xr3:uid="{CD746B03-F313-4C23-AB3E-79ED5F333124}" name="Inkomsten-periode" dataDxfId="210">
      <calculatedColumnFormula>IF(OR(Datum_Einde_IKV="",Tabel135361516181920[[#This Row],[DatAanvTv]]&lt;Datum_Einde_IKV),IF(E1="december","",IF(Verloningsperiodiciteit="maandelijks",rekenwaarden!F3,_xlfn.CONCAT("Periode ",rekenwaarden!E3))),"")</calculatedColumnFormula>
    </tableColumn>
    <tableColumn id="2" xr3:uid="{C0F1BC74-3E56-4C16-B65F-0AA6968236E7}" name="DatAanvTv" dataDxfId="209">
      <calculatedColumnFormula>IF(AND($B$4="",AE2=""),"",VLOOKUP($B$4,IF(Verloningsperiodiciteit="Vierwekelijks",rekenwaarden!C3:C55,rekenwaarden!I3:I50),1,TRUE))</calculatedColumnFormula>
    </tableColumn>
    <tableColumn id="3" xr3:uid="{BDBA4157-D825-4175-8DA9-A04DBB11F8DE}" name="DatEindTv" dataDxfId="208">
      <calculatedColumnFormula>IF(F2="", "", IF(Verloningsperiodiciteit="Vierwekelijks", _xlfn.XLOOKUP(F2,rekenwaarden!$C$3:$C$54,rekenwaarden!$D$3:$D$54,"niet gevonden",-1), _xlfn.XLOOKUP(F2,rekenwaarden!$I$3:$I$54,rekenwaarden!$J$3:$J$54,"niet gevonden",-1)))</calculatedColumnFormula>
    </tableColumn>
    <tableColumn id="18" xr3:uid="{4B8B7FB8-C62A-4394-9B9C-4F7390D4D4E2}" name="Leeftijd" dataDxfId="207">
      <calculatedColumnFormula>IF(Tabel135361516181920[[#This Row],[Inkomsten-periode]]="","",DATEDIF(Geboortedatum,Tabel135361516181920[[#This Row],[DatEindTv]],"Y"))</calculatedColumnFormula>
    </tableColumn>
    <tableColumn id="5" xr3:uid="{9AACC81B-121E-4B7D-9D8A-76B495713CCF}" name="DatAanvIKV" dataDxfId="206">
      <calculatedColumnFormula>IF(Tabel135361516181920[[#This Row],[Inkomsten-periode]]="","",IF(Datum_Aanvang_IKV="","",Datum_Aanvang_IKV))</calculatedColumnFormula>
    </tableColumn>
    <tableColumn id="6" xr3:uid="{DE790E47-160B-48F9-BEB2-39CC99411835}" name="DatEindIKV" dataDxfId="205">
      <calculatedColumnFormula>IF(Tabel135361516181920[[#This Row],[Inkomsten-periode]]="","",IF(Datum_Einde_IKV="","",IF(Datum_Einde_IKV&lt;=Tabel135361516181920[[#This Row],[DatEindTv]],Datum_Einde_IKV,"")))</calculatedColumnFormula>
    </tableColumn>
    <tableColumn id="7" xr3:uid="{CFA3C812-A376-4B01-BE98-388E7092BF42}" name="CdRdnEindArbov" dataDxfId="204"/>
    <tableColumn id="8" xr3:uid="{9BC712BF-7C9F-427B-B295-5869ACF92C62}" name="SrtIV" dataDxfId="203"/>
    <tableColumn id="9" xr3:uid="{F76B577E-84C0-4DE4-8AEB-75F66507CFA3}" name="CdAard" dataDxfId="202"/>
    <tableColumn id="16" xr3:uid="{914F4BC0-8DE5-4430-AB06-1CD028A95D65}" name="AantVerlU" dataDxfId="201"/>
    <tableColumn id="10" xr3:uid="{19918DF3-8DCC-49E6-B3D9-660FBAFEE1F9}" name="LnSV" dataDxfId="200" dataCellStyle="Valuta"/>
    <tableColumn id="11" xr3:uid="{D874F935-3475-4271-9012-DF85CD6FAF2A}" name="VakBsl" dataDxfId="199" dataCellStyle="Valuta"/>
    <tableColumn id="12" xr3:uid="{889E03B8-D0C7-4DB1-AAF4-FB53FA0E9C53}" name="OpgRchtVakBsl" dataDxfId="198" dataCellStyle="Valuta">
      <calculatedColumnFormula>0.08*Tabel135361516181920[[#This Row],[LnSV]]</calculatedColumnFormula>
    </tableColumn>
    <tableColumn id="13" xr3:uid="{F394106C-68E6-4208-A4E9-8058FC952F8E}" name="OpnAvwb" dataDxfId="197" dataCellStyle="Valuta"/>
    <tableColumn id="14" xr3:uid="{E598CA28-F22E-474C-984F-C82545302FF3}" name="OpbAvwb" dataDxfId="196" dataCellStyle="Valuta"/>
    <tableColumn id="15" xr3:uid="{DDAF994B-7606-49FC-96FB-D1030B92BEFF}" name="LnInGld" dataDxfId="195" dataCellStyle="Valuta"/>
    <tableColumn id="21" xr3:uid="{D2A060F3-1BBE-421C-A33A-87D250ED7DC2}" name="CdIncInkVerm" dataDxfId="194" dataCellStyle="Valuta"/>
    <tableColumn id="4" xr3:uid="{14E7F1B7-ABCB-4368-BCCF-4EF11D1BAC96}" name="&lt;RegLn&gt;" dataDxfId="193" dataCellStyle="Valuta">
      <calculatedColumnFormula>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Row],[OpnAvwb]],0))))</calculatedColumnFormula>
    </tableColumn>
    <tableColumn id="17" xr3:uid="{5311CECA-DAFA-406A-9556-AD47B20E514B}" name="&lt;RegUren&gt;" dataDxfId="192" dataCellStyle="Valuta">
      <calculatedColumnFormula>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Row],[AantVerlU]],0))))</calculatedColumnFormula>
    </tableColumn>
    <tableColumn id="19" xr3:uid="{B99D2A09-935F-4704-89A6-EA52E0F9AE6E}" name="Loon na einde IKV" dataDxfId="191" dataCellStyle="Valuta">
      <calculatedColumnFormula>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calculatedColumnFormula>
    </tableColumn>
    <tableColumn id="20" xr3:uid="{ACC22DF2-1CD5-4A8B-8F36-CA2262A5C7C2}" name="Uren na einde IKV" dataDxfId="190" dataCellStyle="Valuta">
      <calculatedColumnFormula>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calculatedColumnFormula>
    </tableColumn>
  </tableColumns>
  <tableStyleInfo name="TableStyleMedium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E0A5294-5E66-4831-B39A-A4F3C1754C9E}" name="Tabel13510" displayName="Tabel13510" ref="E1:Y14" totalsRowShown="0" headerRowDxfId="189" dataDxfId="187" headerRowBorderDxfId="188" tableBorderDxfId="186" totalsRowBorderDxfId="185">
  <autoFilter ref="E1:Y14" xr:uid="{02828E62-E6C4-4A70-BF6E-7F413F33D049}"/>
  <tableColumns count="21">
    <tableColumn id="1" xr3:uid="{0A37B9B4-ED9D-4BF8-BEE1-A55532249A1C}" name="Inkomsten-periode" dataDxfId="184">
      <calculatedColumnFormula>IF(OR(Datum_Einde_IKV="",Tabel13510[[#This Row],[DatAanvTv]]&lt;Datum_Einde_IKV),IF(E1="december","",IF(Verloningsperiodiciteit="maandelijks",rekenwaarden!F3,_xlfn.CONCAT("Periode ",rekenwaarden!E3))),"")</calculatedColumnFormula>
    </tableColumn>
    <tableColumn id="2" xr3:uid="{5FCC9C93-D2B0-4870-B61C-45C92C72691F}" name="DatAanvTv" dataDxfId="183">
      <calculatedColumnFormula>IF(AND($B$4="",AE2=""),"",VLOOKUP($B$4,IF(Verloningsperiodiciteit="Vierwekelijks",rekenwaarden!C3:C55,rekenwaarden!I3:I50),1,TRUE))</calculatedColumnFormula>
    </tableColumn>
    <tableColumn id="3" xr3:uid="{22C808A4-E966-4173-9428-4D02EA898E76}" name="DatEindTv" dataDxfId="182">
      <calculatedColumnFormula>IF(F2="", "", IF(Verloningsperiodiciteit="Vierwekelijks", _xlfn.XLOOKUP(F2,rekenwaarden!$C$3:$C$54,rekenwaarden!$D$3:$D$54,"niet gevonden",-1), _xlfn.XLOOKUP(F2,rekenwaarden!$I$3:$I$54,rekenwaarden!$J$3:$J$54,"niet gevonden",-1)))</calculatedColumnFormula>
    </tableColumn>
    <tableColumn id="18" xr3:uid="{6BD46D8B-8E84-4A98-B06A-7F4FC676A47B}" name="Leeftijd" dataDxfId="181">
      <calculatedColumnFormula>IF(Tabel13510[[#This Row],[Inkomsten-periode]]="","",DATEDIF(Geboortedatum,Tabel13510[[#This Row],[DatEindTv]],"Y"))</calculatedColumnFormula>
    </tableColumn>
    <tableColumn id="5" xr3:uid="{3FC815C3-AB18-44D9-8512-1AB517F8CC64}" name="DatAanvIKV" dataDxfId="180">
      <calculatedColumnFormula>IF(Tabel13510[[#This Row],[Inkomsten-periode]]="","",IF(Datum_Aanvang_IKV="","",Datum_Aanvang_IKV))</calculatedColumnFormula>
    </tableColumn>
    <tableColumn id="6" xr3:uid="{A2714716-D626-4C1F-8EBF-C8286254687A}" name="DatEindIKV" dataDxfId="179">
      <calculatedColumnFormula>IF(Tabel13510[[#This Row],[Inkomsten-periode]]="","",IF(Datum_Einde_IKV="","",IF(Datum_Einde_IKV&lt;=Tabel13510[[#This Row],[DatEindTv]],Datum_Einde_IKV,"")))</calculatedColumnFormula>
    </tableColumn>
    <tableColumn id="7" xr3:uid="{168FD3BD-974B-4739-B0FF-BC0120566DA3}" name="CdRdnEindArbov" dataDxfId="178"/>
    <tableColumn id="8" xr3:uid="{FC02AB65-F40F-454C-988C-F2F15FA49EEF}" name="SrtIV" dataDxfId="177"/>
    <tableColumn id="9" xr3:uid="{AC86827F-C1F7-4FEA-9A8D-3EA945D28FBD}" name="CdAard" dataDxfId="176"/>
    <tableColumn id="16" xr3:uid="{5C291333-A0F8-45BF-9C38-699D398B85DD}" name="AantVerlU" dataDxfId="175"/>
    <tableColumn id="10" xr3:uid="{35F74F90-5551-4DE2-8F1A-51BA628C9046}" name="LnSV" dataDxfId="174" dataCellStyle="Valuta"/>
    <tableColumn id="11" xr3:uid="{C15D3A92-D272-4E4D-B8C7-CCA36D8380F4}" name="VakBsl" dataDxfId="173" dataCellStyle="Valuta"/>
    <tableColumn id="12" xr3:uid="{AFD9860A-1285-4C7A-8101-2E6E6EBCC1FE}" name="OpgRchtVakBsl" dataDxfId="172" dataCellStyle="Valuta">
      <calculatedColumnFormula>0.08*Tabel13510[[#This Row],[LnSV]]</calculatedColumnFormula>
    </tableColumn>
    <tableColumn id="13" xr3:uid="{AE9935CE-6DFF-4A8F-A285-F352D9C6A52D}" name="OpnAvwb" dataDxfId="171" dataCellStyle="Valuta"/>
    <tableColumn id="14" xr3:uid="{065E92EB-86FE-46D3-B28A-FE38213F19E0}" name="OpbAvwb" dataDxfId="170" dataCellStyle="Valuta"/>
    <tableColumn id="15" xr3:uid="{7C5E9D83-9AF8-4236-A173-1D35B0F6F1B4}" name="LnInGld" dataDxfId="169" dataCellStyle="Valuta"/>
    <tableColumn id="21" xr3:uid="{017DDA43-C4CF-4152-8ADF-D7F0B29FF026}" name="CdIncInkVerm" dataDxfId="168" dataCellStyle="Valuta"/>
    <tableColumn id="4" xr3:uid="{FE28C6FD-1994-4B7B-A9CE-9445478DA8A0}" name="&lt;RegLn&gt;" dataDxfId="167" dataCellStyle="Valuta">
      <calculatedColumnFormula>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Row],[OpnAvwb]],0))))</calculatedColumnFormula>
    </tableColumn>
    <tableColumn id="17" xr3:uid="{BF9A5D19-7B20-4DDB-96BC-0FA715E2B266}" name="RegUren" dataDxfId="166" dataCellStyle="Valuta">
      <calculatedColumnFormula>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Row],[AantVerlU]],0))))</calculatedColumnFormula>
    </tableColumn>
    <tableColumn id="19" xr3:uid="{EEFA31C1-489F-4C66-B627-87F3302EC4A5}" name="Loon na einde IKV" dataDxfId="165" dataCellStyle="Valuta">
      <calculatedColumnFormula>IF(Tabel13510[[#This Row],[Inkomsten-periode]]="",IF(Tabel13510[[#This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calculatedColumnFormula>
    </tableColumn>
    <tableColumn id="20" xr3:uid="{00F8F1FF-D74B-4684-AD1B-6DEC47F93132}" name="Uren na einde IKV" dataDxfId="164" dataCellStyle="Valuta">
      <calculatedColumnFormula>IF(Tabel13510[[#This Row],[Inkomsten-periode]]="",IF(Tabel13510[[#This Row],[CdRdnEindArbov]]=33,0,IF(AND(OR(Tabel13510[[#This Row],[SrtIV]]=13,Tabel13510[[#This Row],[SrtIV]]=15,Tabel13510[[#This Row],[SrtIV]]=31),OR(Tabel13510[[#This Row],[CdAard]]=1,Tabel13510[[#This Row],[CdAard]]=11,Tabel13510[[#This Row],[CdAard]]=82,Tabel13510[[#This Row],[CdAard]]=83)),Tabel13510[[#This Row],[AantVerlU]],"")),"")</calculatedColumnFormula>
    </tableColumn>
  </tableColumns>
  <tableStyleInfo name="TableStyleMedium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D0FD476-1BF1-4D75-83E9-D2135E6B5D03}" name="Tabel1351011" displayName="Tabel1351011" ref="E1:Y14" totalsRowShown="0" headerRowDxfId="163" dataDxfId="161" headerRowBorderDxfId="162" tableBorderDxfId="160" totalsRowBorderDxfId="159">
  <autoFilter ref="E1:Y14" xr:uid="{02828E62-E6C4-4A70-BF6E-7F413F33D049}"/>
  <tableColumns count="21">
    <tableColumn id="1" xr3:uid="{A4C03FA6-98A9-4162-AC6B-1BB91B2602BA}" name="Inkomsten-periode" dataDxfId="158">
      <calculatedColumnFormula>IF(OR(Datum_Einde_IKV="",Tabel1351011[[#This Row],[DatAanvTv]]&lt;Datum_Einde_IKV),IF(E1="december","",IF(Verloningsperiodiciteit="maandelijks",rekenwaarden!F3,_xlfn.CONCAT("Periode ",rekenwaarden!E3))),"")</calculatedColumnFormula>
    </tableColumn>
    <tableColumn id="2" xr3:uid="{E6A7247D-B75F-47F0-8672-F68EFE201528}" name="DatAanvTv" dataDxfId="157">
      <calculatedColumnFormula>IF(AND($B$4="",AE2=""),"",VLOOKUP($B$4,IF(Verloningsperiodiciteit="Vierwekelijks",rekenwaarden!C3:C55,rekenwaarden!I3:I50),1,TRUE))</calculatedColumnFormula>
    </tableColumn>
    <tableColumn id="3" xr3:uid="{FFA8A3E2-2286-441C-B3FC-A2D1C13E5580}" name="DatEindTv" dataDxfId="156">
      <calculatedColumnFormula>IF(F2="", "", IF(Verloningsperiodiciteit="Vierwekelijks", _xlfn.XLOOKUP(F2,rekenwaarden!$C$3:$C$54,rekenwaarden!$D$3:$D$54,"niet gevonden",-1), _xlfn.XLOOKUP(F2,rekenwaarden!$I$3:$I$54,rekenwaarden!$J$3:$J$54,"niet gevonden",-1)))</calculatedColumnFormula>
    </tableColumn>
    <tableColumn id="18" xr3:uid="{E312336E-12DB-42F7-A8E9-9B4927E954F6}" name="Leeftijd" dataDxfId="155">
      <calculatedColumnFormula>IF(Tabel1351011[[#This Row],[Inkomsten-periode]]="","",DATEDIF(Geboortedatum,Tabel1351011[[#This Row],[DatEindTv]],"Y"))</calculatedColumnFormula>
    </tableColumn>
    <tableColumn id="5" xr3:uid="{8AE2FED0-C83C-4348-B868-D7F5C6DBF6E7}" name="DatAanvIKV" dataDxfId="154">
      <calculatedColumnFormula>IF(Tabel1351011[[#This Row],[Inkomsten-periode]]="","",IF(Datum_Aanvang_IKV="","",Datum_Aanvang_IKV))</calculatedColumnFormula>
    </tableColumn>
    <tableColumn id="6" xr3:uid="{EED4C019-05DC-4EA2-9028-B80A16C4791A}" name="DatEindIKV" dataDxfId="153">
      <calculatedColumnFormula>IF(Tabel1351011[[#This Row],[Inkomsten-periode]]="","",IF(Datum_Einde_IKV="","",IF(Datum_Einde_IKV&lt;=Tabel1351011[[#This Row],[DatEindTv]],Datum_Einde_IKV,"")))</calculatedColumnFormula>
    </tableColumn>
    <tableColumn id="7" xr3:uid="{5C579185-1C71-4A56-8292-32110F2249E4}" name="CdRdnEindArbov" dataDxfId="152"/>
    <tableColumn id="8" xr3:uid="{85CF9C86-9430-412A-8225-2E978B935581}" name="SrtIV" dataDxfId="151"/>
    <tableColumn id="9" xr3:uid="{51502338-6287-42E9-9739-D50BAEAE60FE}" name="CdAard" dataDxfId="150"/>
    <tableColumn id="16" xr3:uid="{89B1179F-4F39-452C-B28C-933D703AE129}" name="AantVerlU" dataDxfId="149"/>
    <tableColumn id="10" xr3:uid="{131567A5-4C2D-4989-BBED-4F60C74ECBC8}" name="LnSV" dataDxfId="148" dataCellStyle="Valuta"/>
    <tableColumn id="11" xr3:uid="{8351F588-F372-4098-A278-4C7E4F61DA42}" name="VakBsl" dataDxfId="147" dataCellStyle="Valuta"/>
    <tableColumn id="12" xr3:uid="{E28A883E-B0C2-41C3-A7EF-50A99E76202F}" name="OpgRchtVakBsl" dataDxfId="146" dataCellStyle="Valuta">
      <calculatedColumnFormula>0.08*Tabel1351011[[#This Row],[LnSV]]</calculatedColumnFormula>
    </tableColumn>
    <tableColumn id="13" xr3:uid="{73642B17-EA81-4836-8524-90D372CA9A0E}" name="OpnAvwb" dataDxfId="145" dataCellStyle="Valuta"/>
    <tableColumn id="14" xr3:uid="{F935937E-CE46-4A70-9DD4-B111F507A981}" name="OpbAvwb" dataDxfId="144" dataCellStyle="Valuta"/>
    <tableColumn id="15" xr3:uid="{5185CD90-DB43-4C44-B4FC-3D077CD1C90A}" name="LnInGld" dataDxfId="143" dataCellStyle="Valuta"/>
    <tableColumn id="21" xr3:uid="{9933F613-5508-42DC-8032-A93CCFBB0090}" name="CdIncInkVerm" dataDxfId="142" dataCellStyle="Valuta"/>
    <tableColumn id="4" xr3:uid="{3B3AC19B-EDA0-4ACE-9EB9-84C7E5A2D1CB}" name="&lt;RegLn&gt;" dataDxfId="141" dataCellStyle="Valuta">
      <calculatedColumnFormula>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Row],[OpnAvwb]],0))))</calculatedColumnFormula>
    </tableColumn>
    <tableColumn id="17" xr3:uid="{9D574BD5-B39A-4281-B961-EA04BD929C94}" name="RegUren" dataDxfId="140" dataCellStyle="Valuta">
      <calculatedColumnFormula>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Row],[AantVerlU]],0))))</calculatedColumnFormula>
    </tableColumn>
    <tableColumn id="19" xr3:uid="{73B53D29-F478-4757-BC6D-192FD1BA12E0}" name="Loon na einde IKV" dataDxfId="139" dataCellStyle="Valuta">
      <calculatedColumnFormula>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calculatedColumnFormula>
    </tableColumn>
    <tableColumn id="20" xr3:uid="{8BB86514-AF40-4495-9BEA-910DF97AC69D}" name="Uren na einde IKV" dataDxfId="138" dataCellStyle="Valuta">
      <calculatedColumnFormula>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Row],[AantVerlU]],"")),"")</calculatedColumnFormula>
    </tableColumn>
  </tableColumns>
  <tableStyleInfo name="TableStyleMedium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0475747-D1DF-44D2-96A2-66D7DC8D8B75}" name="Tabel135101112" displayName="Tabel135101112" ref="E1:Y14" totalsRowShown="0" headerRowDxfId="137" dataDxfId="135" headerRowBorderDxfId="136" tableBorderDxfId="134" totalsRowBorderDxfId="133">
  <autoFilter ref="E1:Y14" xr:uid="{02828E62-E6C4-4A70-BF6E-7F413F33D049}"/>
  <tableColumns count="21">
    <tableColumn id="1" xr3:uid="{C244B094-4C67-490C-BD6E-3509472BD467}" name="Inkomsten-periode" dataDxfId="132">
      <calculatedColumnFormula>IF(OR(Datum_Einde_IKV="",Tabel135101112[[#This Row],[DatAanvTv]]&lt;Datum_Einde_IKV),IF(E1="december","",IF(Verloningsperiodiciteit="maandelijks",rekenwaarden!F3,_xlfn.CONCAT("Periode ",rekenwaarden!E3))),"")</calculatedColumnFormula>
    </tableColumn>
    <tableColumn id="2" xr3:uid="{C080758D-0979-44F4-8874-714C6EB11AD3}" name="DatAanvTv" dataDxfId="131">
      <calculatedColumnFormula>IF(AND($B$4="",AE2=""),"",VLOOKUP($B$4,IF(Verloningsperiodiciteit="Vierwekelijks",rekenwaarden!C3:C55,rekenwaarden!I3:I50),1,TRUE))</calculatedColumnFormula>
    </tableColumn>
    <tableColumn id="3" xr3:uid="{BEADB0AC-FD9F-4128-B54D-BA63BB32DAF8}" name="DatEindTv" dataDxfId="130">
      <calculatedColumnFormula>IF(F2="", "", IF(Verloningsperiodiciteit="Vierwekelijks", _xlfn.XLOOKUP(F2,rekenwaarden!$C$3:$C$54,rekenwaarden!$D$3:$D$54,"niet gevonden",-1), _xlfn.XLOOKUP(F2,rekenwaarden!$I$3:$I$54,rekenwaarden!$J$3:$J$54,"niet gevonden",-1)))</calculatedColumnFormula>
    </tableColumn>
    <tableColumn id="18" xr3:uid="{ECAE21A4-1884-4FFE-93E5-3E85619E8C9E}" name="Leeftijd" dataDxfId="129">
      <calculatedColumnFormula>IF(Tabel135101112[[#This Row],[Inkomsten-periode]]="","",DATEDIF(Geboortedatum,Tabel135101112[[#This Row],[DatEindTv]],"Y"))</calculatedColumnFormula>
    </tableColumn>
    <tableColumn id="5" xr3:uid="{4CF3A70A-F70E-41D5-951A-817D6B2D8167}" name="DatAanvIKV" dataDxfId="128">
      <calculatedColumnFormula>IF(Tabel135101112[[#This Row],[Inkomsten-periode]]="","",IF(Datum_Aanvang_IKV="","",Datum_Aanvang_IKV))</calculatedColumnFormula>
    </tableColumn>
    <tableColumn id="6" xr3:uid="{4387874E-4FD8-4AF4-B10E-976F1B898660}" name="DatEindIKV" dataDxfId="127">
      <calculatedColumnFormula>IF(Tabel135101112[[#This Row],[Inkomsten-periode]]="","",IF(Datum_Einde_IKV="","",IF(Datum_Einde_IKV&lt;=Tabel135101112[[#This Row],[DatEindTv]],Datum_Einde_IKV,"")))</calculatedColumnFormula>
    </tableColumn>
    <tableColumn id="7" xr3:uid="{5CA2E47F-5D3A-4AEB-8281-71FE3AAA5F12}" name="CdRdnEindArbov" dataDxfId="126"/>
    <tableColumn id="8" xr3:uid="{376E587A-74B8-4CC6-8691-E6F07DCFA565}" name="SrtIV" dataDxfId="125"/>
    <tableColumn id="9" xr3:uid="{868ED21C-EE6A-4326-831E-A84F11BBE5EC}" name="CdAard" dataDxfId="124"/>
    <tableColumn id="16" xr3:uid="{9C458C30-49F2-4969-BD62-2E09D936B78D}" name="AantVerlU" dataDxfId="123"/>
    <tableColumn id="10" xr3:uid="{EC702291-E551-4AEE-90B4-6D1DBB630987}" name="LnSV" dataDxfId="122" dataCellStyle="Valuta"/>
    <tableColumn id="11" xr3:uid="{FACB8B82-515C-4A6D-8FDB-437A6D514131}" name="VakBsl" dataDxfId="121" dataCellStyle="Valuta"/>
    <tableColumn id="12" xr3:uid="{AB5E1A40-BA9E-4648-87CE-C04A6F05BA26}" name="OpgRchtVakBsl" dataDxfId="120" dataCellStyle="Valuta">
      <calculatedColumnFormula>0.08*Tabel135101112[[#This Row],[LnSV]]</calculatedColumnFormula>
    </tableColumn>
    <tableColumn id="13" xr3:uid="{6E038F42-1F70-475C-8A23-862B52708125}" name="OpnAvwb" dataDxfId="119" dataCellStyle="Valuta"/>
    <tableColumn id="14" xr3:uid="{31791312-6C8D-4C4B-B896-473E2C4F39A1}" name="OpbAvwb" dataDxfId="118" dataCellStyle="Valuta"/>
    <tableColumn id="15" xr3:uid="{29D08ACF-C19B-49BE-95C5-D354BA83C74E}" name="LnInGld" dataDxfId="117" dataCellStyle="Valuta"/>
    <tableColumn id="21" xr3:uid="{86975D76-F100-4516-99DB-554379B97555}" name="CdIncInkVerm" dataDxfId="116" dataCellStyle="Valuta"/>
    <tableColumn id="4" xr3:uid="{46AB8453-5B9D-4534-8ABB-A451A2D3A1C5}" name="&lt;RegLn&gt;" dataDxfId="115" dataCellStyle="Valuta">
      <calculatedColumnFormula>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Row],[OpnAvwb]],0))))</calculatedColumnFormula>
    </tableColumn>
    <tableColumn id="17" xr3:uid="{D6C3F313-DDAD-45BA-ACA1-478F5470DAAD}" name="RegUren" dataDxfId="114" dataCellStyle="Valuta">
      <calculatedColumnFormula>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Row],[AantVerlU]],0))))</calculatedColumnFormula>
    </tableColumn>
    <tableColumn id="19" xr3:uid="{A2F5891E-D2D6-482B-9107-44F9BC1BCFE1}" name="Loon na einde IKV" dataDxfId="113" dataCellStyle="Valuta">
      <calculatedColumnFormula>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calculatedColumnFormula>
    </tableColumn>
    <tableColumn id="20" xr3:uid="{388E52BE-FE9E-4E9F-AA88-64F442E21BAF}" name="Uren na einde IKV" dataDxfId="112" dataCellStyle="Valuta">
      <calculatedColumnFormula>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calculatedColumnFormula>
    </tableColumn>
  </tableColumns>
  <tableStyleInfo name="TableStyleMedium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CCF911A-3686-447B-9DC8-AF25AE1D101E}" name="Tabel13510111213" displayName="Tabel13510111213" ref="E1:Y14" totalsRowShown="0" headerRowDxfId="111" dataDxfId="109" headerRowBorderDxfId="110" tableBorderDxfId="108" totalsRowBorderDxfId="107">
  <autoFilter ref="E1:Y14" xr:uid="{02828E62-E6C4-4A70-BF6E-7F413F33D049}"/>
  <tableColumns count="21">
    <tableColumn id="1" xr3:uid="{6E37D2AA-FFDF-49AE-8D21-1D24F8EFA245}" name="Inkomsten-periode" dataDxfId="106">
      <calculatedColumnFormula>IF(OR(Datum_Einde_IKV="",Tabel13510111213[[#This Row],[DatAanvTv]]&lt;Datum_Einde_IKV),IF(E1="december","",IF(Verloningsperiodiciteit="maandelijks",rekenwaarden!F3,_xlfn.CONCAT("Periode ",rekenwaarden!E3))),"")</calculatedColumnFormula>
    </tableColumn>
    <tableColumn id="2" xr3:uid="{1C805B38-7637-40DA-9851-87318ACF3409}" name="DatAanvTv" dataDxfId="105">
      <calculatedColumnFormula>IF(AND($B$4="",AE2=""),"",VLOOKUP($B$4,IF(Verloningsperiodiciteit="Vierwekelijks",rekenwaarden!C3:C55,rekenwaarden!I3:I50),1,TRUE))</calculatedColumnFormula>
    </tableColumn>
    <tableColumn id="3" xr3:uid="{ED07A626-F365-4874-9B82-0EB95D61324C}" name="DatEindTv" dataDxfId="104">
      <calculatedColumnFormula>IF(F2="", "", IF(Verloningsperiodiciteit="Vierwekelijks", _xlfn.XLOOKUP(F2,rekenwaarden!$C$3:$C$54,rekenwaarden!$D$3:$D$54,"niet gevonden",-1), _xlfn.XLOOKUP(F2,rekenwaarden!$I$3:$I$54,rekenwaarden!$J$3:$J$54,"niet gevonden",-1)))</calculatedColumnFormula>
    </tableColumn>
    <tableColumn id="18" xr3:uid="{60DD654A-DD96-4922-A7A9-9C2F7784B9F6}" name="Leeftijd" dataDxfId="103">
      <calculatedColumnFormula>IF(Tabel13510111213[[#This Row],[Inkomsten-periode]]="","",DATEDIF(Geboortedatum,Tabel13510111213[[#This Row],[DatEindTv]],"Y"))</calculatedColumnFormula>
    </tableColumn>
    <tableColumn id="5" xr3:uid="{62E0F0F9-5340-49EE-87A7-20467B056390}" name="DatAanvIKV" dataDxfId="102">
      <calculatedColumnFormula>IF(Tabel13510111213[[#This Row],[Inkomsten-periode]]="","",IF(Datum_Aanvang_IKV="","",Datum_Aanvang_IKV))</calculatedColumnFormula>
    </tableColumn>
    <tableColumn id="6" xr3:uid="{89507792-A2A9-4271-B189-5EF5A15B087F}" name="DatEindIKV" dataDxfId="101">
      <calculatedColumnFormula>IF(Tabel13510111213[[#This Row],[Inkomsten-periode]]="","",IF(Datum_Einde_IKV="","",IF(Datum_Einde_IKV&lt;=Tabel13510111213[[#This Row],[DatEindTv]],Datum_Einde_IKV,"")))</calculatedColumnFormula>
    </tableColumn>
    <tableColumn id="7" xr3:uid="{41FF11F9-D7B1-4F37-B674-F2AEACC8E174}" name="CdRdnEindArbov" dataDxfId="100"/>
    <tableColumn id="8" xr3:uid="{76040696-4F50-4784-9726-1DE52F60848E}" name="SrtIV" dataDxfId="99"/>
    <tableColumn id="9" xr3:uid="{6AC2A583-D554-4FB4-BFF4-1D67A98D44E9}" name="CdAard" dataDxfId="98"/>
    <tableColumn id="16" xr3:uid="{53D8BAD9-6C78-4CB6-9CAC-752F0A4C30ED}" name="AantVerlU" dataDxfId="97"/>
    <tableColumn id="10" xr3:uid="{BB137AE9-BD9F-46F3-AE55-E1E91DE26E96}" name="LnSV" dataDxfId="96" dataCellStyle="Valuta"/>
    <tableColumn id="11" xr3:uid="{F3F303FE-05BF-4104-B035-D7424C439A20}" name="VakBsl" dataDxfId="95" dataCellStyle="Valuta"/>
    <tableColumn id="12" xr3:uid="{8DB38415-F826-40C2-8B3F-BFA848C7E279}" name="OpgRchtVakBsl" dataDxfId="94" dataCellStyle="Valuta">
      <calculatedColumnFormula>0.08*Tabel13510111213[[#This Row],[LnSV]]</calculatedColumnFormula>
    </tableColumn>
    <tableColumn id="13" xr3:uid="{266B83DC-1041-4DA3-BCC6-E2B96BAE3633}" name="OpnAvwb" dataDxfId="93" dataCellStyle="Valuta"/>
    <tableColumn id="14" xr3:uid="{09F8001B-3632-45D8-A18F-6FD1D0927CA6}" name="OpbAvwb" dataDxfId="92" dataCellStyle="Valuta"/>
    <tableColumn id="15" xr3:uid="{44EDCFBD-2506-4939-8C6D-EFF969145BA4}" name="LnInGld" dataDxfId="91" dataCellStyle="Valuta"/>
    <tableColumn id="21" xr3:uid="{D4B961E3-0E18-4297-91C5-4422F6251CEF}" name="CdIncInkVerm" dataDxfId="90" dataCellStyle="Valuta"/>
    <tableColumn id="4" xr3:uid="{16FE6E1F-6A47-49E3-AF2D-870239AFFDE6}" name="&lt;RegLn&gt;" dataDxfId="89" dataCellStyle="Valuta">
      <calculatedColumnFormula>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Row],[OpnAvwb]],0))))</calculatedColumnFormula>
    </tableColumn>
    <tableColumn id="17" xr3:uid="{21698A86-B1FD-46AB-B1B5-C8869C4E72AF}" name="RegUren" dataDxfId="88" dataCellStyle="Valuta">
      <calculatedColumnFormula>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Row],[AantVerlU]],0))))</calculatedColumnFormula>
    </tableColumn>
    <tableColumn id="19" xr3:uid="{DC0A35F2-1DB1-448E-8C09-C2964A1EE6E1}" name="Loon na einde IKV" dataDxfId="87" dataCellStyle="Valuta">
      <calculatedColumnFormula>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calculatedColumnFormula>
    </tableColumn>
    <tableColumn id="20" xr3:uid="{4EA29C67-FE96-4D10-8012-225BB504E3FD}" name="Uren na einde IKV" dataDxfId="86" dataCellStyle="Valuta">
      <calculatedColumnFormula>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calculatedColumnFormula>
    </tableColumn>
  </tableColumns>
  <tableStyleInfo name="TableStyleMedium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A2D94D1-B15A-482E-AA5C-5AD5E70E6FE7}" name="Tabel1353678" displayName="Tabel1353678" ref="E1:Y14" totalsRowShown="0" headerRowDxfId="85" dataDxfId="83" headerRowBorderDxfId="84" tableBorderDxfId="82" totalsRowBorderDxfId="81">
  <autoFilter ref="E1:Y14" xr:uid="{02828E62-E6C4-4A70-BF6E-7F413F33D049}"/>
  <tableColumns count="21">
    <tableColumn id="1" xr3:uid="{4D83AA92-A70B-497B-B521-F26EB2D4AABB}" name="Inkomsten-periode" dataDxfId="80">
      <calculatedColumnFormula>IF(OR(Datum_Einde_IKV="",Tabel1353678[[#This Row],[DatAanvTv]]&lt;Datum_Einde_IKV),IF(E1="december","",IF(Verloningsperiodiciteit="maandelijks",rekenwaarden!F3,_xlfn.CONCAT("Periode ",rekenwaarden!E3))),"")</calculatedColumnFormula>
    </tableColumn>
    <tableColumn id="2" xr3:uid="{52A2D14F-88B7-4CEE-8606-80D7E0BDF20F}" name="DatAanvTv" dataDxfId="79">
      <calculatedColumnFormula>IF(AND($B$4="",AE2=""),"",VLOOKUP($B$4,IF(Verloningsperiodiciteit="Vierwekelijks",rekenwaarden!C3:C55,rekenwaarden!I3:I50),1,TRUE))</calculatedColumnFormula>
    </tableColumn>
    <tableColumn id="3" xr3:uid="{731250FD-4562-486F-A1A6-26810C54EDC2}" name="DatEindTv" dataDxfId="78">
      <calculatedColumnFormula>IF(F2="", "", IF(Verloningsperiodiciteit="Vierwekelijks", _xlfn.XLOOKUP(F2,rekenwaarden!$C$3:$C$54,rekenwaarden!$D$3:$D$54,"niet gevonden",-1), _xlfn.XLOOKUP(F2,rekenwaarden!$I$3:$I$54,rekenwaarden!$J$3:$J$54,"niet gevonden",-1)))</calculatedColumnFormula>
    </tableColumn>
    <tableColumn id="18" xr3:uid="{03CEEC6E-3516-4F7D-B0A9-0995740F00C0}" name="Leeftijd" dataDxfId="77">
      <calculatedColumnFormula>IF(Tabel1353678[[#This Row],[Inkomsten-periode]]="","",DATEDIF(Geboortedatum,Tabel1353678[[#This Row],[DatEindTv]],"Y"))</calculatedColumnFormula>
    </tableColumn>
    <tableColumn id="5" xr3:uid="{6C80E967-DA0E-4D86-90AB-9D98004B6241}" name="DatAanvIKV" dataDxfId="76">
      <calculatedColumnFormula>IF(Tabel1353678[[#This Row],[Inkomsten-periode]]="","",IF(Datum_Aanvang_IKV="","",Datum_Aanvang_IKV))</calculatedColumnFormula>
    </tableColumn>
    <tableColumn id="6" xr3:uid="{CA459842-1765-455D-8620-21CC2BF59CA1}" name="DatEindIKV" dataDxfId="75">
      <calculatedColumnFormula>IF(Tabel1353678[[#This Row],[Inkomsten-periode]]="","",IF(Datum_Einde_IKV="","",IF(Datum_Einde_IKV&lt;=Tabel1353678[[#This Row],[DatEindTv]],Datum_Einde_IKV,"")))</calculatedColumnFormula>
    </tableColumn>
    <tableColumn id="7" xr3:uid="{7901D152-3B09-4ADC-B0A0-2AC6133D9185}" name="CdRdnEindArbov" dataDxfId="74"/>
    <tableColumn id="8" xr3:uid="{9BCCE66A-14B1-4E28-AED4-A20B85CE85F9}" name="SrtIV" dataDxfId="73"/>
    <tableColumn id="9" xr3:uid="{1A0A8CEE-FB35-4E40-B8E6-0B8E15C5BA56}" name="CdAard" dataDxfId="72"/>
    <tableColumn id="16" xr3:uid="{AB757772-9B5C-4966-A09B-3889C2560B5D}" name="AantVerlU" dataDxfId="71"/>
    <tableColumn id="10" xr3:uid="{6DD5E49A-29B2-46C4-8E92-2B63E532803F}" name="LnSV" dataDxfId="70" dataCellStyle="Valuta"/>
    <tableColumn id="11" xr3:uid="{037CCFF9-EE1F-4716-A8C6-59516AE72028}" name="VakBsl" dataDxfId="69" dataCellStyle="Valuta"/>
    <tableColumn id="12" xr3:uid="{D341BD5D-925E-4E27-926A-8590ECA68222}" name="OpgRchtVakBsl" dataDxfId="68" dataCellStyle="Valuta">
      <calculatedColumnFormula>0.08*Tabel1353678[[#This Row],[LnSV]]</calculatedColumnFormula>
    </tableColumn>
    <tableColumn id="13" xr3:uid="{285397CB-BBE3-4B81-9F12-CB673F26A414}" name="OpnAvwb" dataDxfId="67" dataCellStyle="Valuta"/>
    <tableColumn id="14" xr3:uid="{A40BABDA-91D7-4F71-A853-C9131AF3805A}" name="OpbAvwb" dataDxfId="66" dataCellStyle="Valuta"/>
    <tableColumn id="15" xr3:uid="{82BA30F5-959A-4D81-9868-37225DDF2DAF}" name="LnInGld" dataDxfId="65" dataCellStyle="Valuta"/>
    <tableColumn id="21" xr3:uid="{7F1C4BC9-C60F-4978-9EFF-4A1E4DBBBDD7}" name="CdIncInkVerm" dataDxfId="64" dataCellStyle="Valuta"/>
    <tableColumn id="4" xr3:uid="{FE03ECF2-46D1-4D37-AECB-8AA7ACB88413}" name="&lt;RegLn&gt;" dataDxfId="63" dataCellStyle="Valuta">
      <calculatedColumnFormula>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Row],[OpnAvwb]],0))))</calculatedColumnFormula>
    </tableColumn>
    <tableColumn id="17" xr3:uid="{8A1490ED-BC40-45A2-8EB6-E413ADDD10C8}" name="&lt;RegUren&gt;" dataDxfId="62" dataCellStyle="Valuta">
      <calculatedColumnFormula>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Row],[AantVerlU]],0))))</calculatedColumnFormula>
    </tableColumn>
    <tableColumn id="19" xr3:uid="{85F3C04B-E342-489C-89B0-CBD675033C8B}" name="Loon na einde IKV" dataDxfId="61" dataCellStyle="Valuta">
      <calculatedColumnFormula>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calculatedColumnFormula>
    </tableColumn>
    <tableColumn id="20" xr3:uid="{0CDDC344-F747-453F-A455-5647967D66B0}" name="Uren na einde IKV" dataDxfId="60" dataCellStyle="Valuta">
      <calculatedColumnFormula>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Row],[AantVerlU]],"")),"")</calculatedColumnFormula>
    </tableColumn>
  </tableColumns>
  <tableStyleInfo name="TableStyleMedium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D1EF349-810D-460A-ADEA-0DDD772861E7}" name="Tabel13536789" displayName="Tabel13536789" ref="E1:Y14" totalsRowShown="0" headerRowDxfId="59" dataDxfId="57" headerRowBorderDxfId="58" tableBorderDxfId="56" totalsRowBorderDxfId="55">
  <autoFilter ref="E1:Y14" xr:uid="{02828E62-E6C4-4A70-BF6E-7F413F33D049}"/>
  <tableColumns count="21">
    <tableColumn id="1" xr3:uid="{1FD4F555-1959-406F-95A6-D7BBF418C568}" name="Inkomsten-periode" dataDxfId="54">
      <calculatedColumnFormula>IF(OR(Datum_Einde_IKV="",Tabel13536789[[#This Row],[DatAanvTv]]&lt;Datum_Einde_IKV),IF(E1="december","",IF(Verloningsperiodiciteit="maandelijks",rekenwaarden!F3,_xlfn.CONCAT("Periode ",rekenwaarden!E3))),"")</calculatedColumnFormula>
    </tableColumn>
    <tableColumn id="2" xr3:uid="{682D4824-A0E9-4577-9EC6-DF72B65BA2D0}" name="DatAanvTv" dataDxfId="53">
      <calculatedColumnFormula>IF(AND($B$4="",AE2=""),"",VLOOKUP($B$4,IF(Verloningsperiodiciteit="Vierwekelijks",rekenwaarden!C3:C55,rekenwaarden!I3:I50),1,TRUE))</calculatedColumnFormula>
    </tableColumn>
    <tableColumn id="3" xr3:uid="{26D04BB1-F18F-4F95-8E6E-AD9439E3E036}" name="DatEindTv" dataDxfId="52">
      <calculatedColumnFormula>IF(F2="", "", IF(Verloningsperiodiciteit="Vierwekelijks", _xlfn.XLOOKUP(F2,rekenwaarden!$C$3:$C$54,rekenwaarden!$D$3:$D$54,"niet gevonden",-1), _xlfn.XLOOKUP(F2,rekenwaarden!$I$3:$I$54,rekenwaarden!$J$3:$J$54,"niet gevonden",-1)))</calculatedColumnFormula>
    </tableColumn>
    <tableColumn id="18" xr3:uid="{5D30DA35-0A6C-471B-98D6-EE664B83D1BD}" name="Leeftijd" dataDxfId="51">
      <calculatedColumnFormula>IF(Tabel13536789[[#This Row],[Inkomsten-periode]]="","",DATEDIF(Geboortedatum,Tabel13536789[[#This Row],[DatEindTv]],"Y"))</calculatedColumnFormula>
    </tableColumn>
    <tableColumn id="5" xr3:uid="{A8706AF9-AE93-4CA4-8DCA-EEBE4106F263}" name="DatAanvIKV" dataDxfId="50">
      <calculatedColumnFormula>IF(Tabel13536789[[#This Row],[Inkomsten-periode]]="","",IF(Datum_Aanvang_IKV="","",Datum_Aanvang_IKV))</calculatedColumnFormula>
    </tableColumn>
    <tableColumn id="6" xr3:uid="{326008FF-F5AA-420D-A005-F1C2CBEF2116}" name="DatEindIKV" dataDxfId="49">
      <calculatedColumnFormula>IF(Tabel13536789[[#This Row],[Inkomsten-periode]]="","",IF(Datum_Einde_IKV="","",IF(Datum_Einde_IKV&lt;=Tabel13536789[[#This Row],[DatEindTv]],Datum_Einde_IKV,"")))</calculatedColumnFormula>
    </tableColumn>
    <tableColumn id="7" xr3:uid="{519D7974-6191-4363-8C55-A0F299152751}" name="CdRdnEindArbov" dataDxfId="48"/>
    <tableColumn id="8" xr3:uid="{2C9AC18C-A6FC-4D2F-ACA1-F946DEC9221B}" name="SrtIV" dataDxfId="47"/>
    <tableColumn id="9" xr3:uid="{F2C66F4E-C2CE-49C2-BBBE-64C5B1FCC372}" name="CdAard" dataDxfId="46"/>
    <tableColumn id="16" xr3:uid="{744F7DC1-BA04-4F70-8097-4C9E79D336D8}" name="AantVerlU" dataDxfId="45"/>
    <tableColumn id="10" xr3:uid="{6DFED4E9-1430-4B06-A815-5F5C7A0E954A}" name="LnSV" dataDxfId="44" dataCellStyle="Valuta"/>
    <tableColumn id="11" xr3:uid="{EBB06B2C-4009-47D3-831E-A9C17C466898}" name="VakBsl" dataDxfId="43" dataCellStyle="Valuta"/>
    <tableColumn id="12" xr3:uid="{24BC2519-E2CE-4F28-B4DA-0DCA098D82F3}" name="OpgRchtVakBsl" dataDxfId="42" dataCellStyle="Valuta">
      <calculatedColumnFormula>0.08*Tabel13536789[[#This Row],[LnSV]]</calculatedColumnFormula>
    </tableColumn>
    <tableColumn id="13" xr3:uid="{3405CA99-1108-4E0A-89F4-90187D99D5F5}" name="OpnAvwb" dataDxfId="41" dataCellStyle="Valuta"/>
    <tableColumn id="14" xr3:uid="{24570D1E-59F8-4390-924F-4F9A94D69C68}" name="OpbAvwb" dataDxfId="40" dataCellStyle="Valuta"/>
    <tableColumn id="15" xr3:uid="{E4406516-5BAE-4858-8638-CF84A6E1C4B4}" name="LnInGld" dataDxfId="39" dataCellStyle="Valuta"/>
    <tableColumn id="21" xr3:uid="{F4F7674F-20B7-4A10-825A-E658E28FC027}" name="CdIncInkVerm" dataDxfId="38" dataCellStyle="Valuta"/>
    <tableColumn id="4" xr3:uid="{D4CC3E3F-6F49-45CB-93BF-19389D1457A4}" name="&lt;RegLn&gt;" dataDxfId="37" dataCellStyle="Valuta">
      <calculatedColumnFormula>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Row],[OpnAvwb]],0))))</calculatedColumnFormula>
    </tableColumn>
    <tableColumn id="17" xr3:uid="{2B0CA6EE-5271-44BD-9B31-69C2C55D6AAE}" name="&lt;RegUren&gt;" dataDxfId="36" dataCellStyle="Valuta">
      <calculatedColumnFormula>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Row],[AantVerlU]],0))))</calculatedColumnFormula>
    </tableColumn>
    <tableColumn id="19" xr3:uid="{D0BC3FB6-84DD-44EB-8613-4127D3494504}" name="Loon na einde IKV" dataDxfId="35" dataCellStyle="Valuta">
      <calculatedColumnFormula>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calculatedColumnFormula>
    </tableColumn>
    <tableColumn id="20" xr3:uid="{4D3E65B9-A7A0-4896-A132-862B4148B380}" name="Uren na einde IKV" dataDxfId="34" dataCellStyle="Valuta">
      <calculatedColumnFormula>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Row],[AantVerlU]],"")),"")</calculatedColumn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1792DF6-A50B-4206-A319-3216AACF7B73}" name="Tabel135367" displayName="Tabel135367" ref="E1:Y14" totalsRowShown="0" headerRowDxfId="501" dataDxfId="499" headerRowBorderDxfId="500" tableBorderDxfId="498" totalsRowBorderDxfId="497">
  <autoFilter ref="E1:Y14" xr:uid="{02828E62-E6C4-4A70-BF6E-7F413F33D049}"/>
  <tableColumns count="21">
    <tableColumn id="1" xr3:uid="{E9833DAD-21D2-4425-9C51-4462EF260E25}" name="Inkomsten-periode" dataDxfId="496">
      <calculatedColumnFormula>IF(OR(Datum_Einde_IKV="",Tabel135367[[#This Row],[DatAanvTv]]&lt;Datum_Einde_IKV),IF(E1="december","",IF(Verloningsperiodiciteit="maandelijks",rekenwaarden!F3,_xlfn.CONCAT("Periode ",rekenwaarden!E3))),"")</calculatedColumnFormula>
    </tableColumn>
    <tableColumn id="2" xr3:uid="{2105662E-0140-4720-A02E-4A69D23CCA4F}" name="DatAanvTv" dataDxfId="495">
      <calculatedColumnFormula>IF(AND($B$4="",AE2=""),"",VLOOKUP($B$4,IF(Verloningsperiodiciteit="Vierwekelijks",rekenwaarden!C3:C55,rekenwaarden!I3:I50),1,TRUE))</calculatedColumnFormula>
    </tableColumn>
    <tableColumn id="3" xr3:uid="{AB719A4F-C9E4-44F1-9901-9941ACF3A709}" name="DatEindTv" dataDxfId="494">
      <calculatedColumnFormula>IF(F2="", "", IF(Verloningsperiodiciteit="Vierwekelijks", _xlfn.XLOOKUP(F2,rekenwaarden!$C$3:$C$54,rekenwaarden!$D$3:$D$54,"niet gevonden",-1), _xlfn.XLOOKUP(F2,rekenwaarden!$I$3:$I$54,rekenwaarden!$J$3:$J$54,"niet gevonden",-1)))</calculatedColumnFormula>
    </tableColumn>
    <tableColumn id="18" xr3:uid="{5A551358-246A-4505-9CE3-744FB012C270}" name="Leeftijd" dataDxfId="493">
      <calculatedColumnFormula>IF(Tabel135367[[#This Row],[Inkomsten-periode]]="","",DATEDIF(Geboortedatum,Tabel135367[[#This Row],[DatEindTv]],"Y"))</calculatedColumnFormula>
    </tableColumn>
    <tableColumn id="5" xr3:uid="{2D2D7A4F-26B3-44B4-80D9-97CC14E90890}" name="DatAanvIKV" dataDxfId="492">
      <calculatedColumnFormula>IF(Tabel135367[[#This Row],[Inkomsten-periode]]="","",IF(Datum_Aanvang_IKV="","",Datum_Aanvang_IKV))</calculatedColumnFormula>
    </tableColumn>
    <tableColumn id="6" xr3:uid="{B9FCE0B8-05BB-4F7C-A78F-DA78036BD386}" name="DatEindIKV" dataDxfId="491">
      <calculatedColumnFormula>IF(Tabel135367[[#This Row],[Inkomsten-periode]]="","",IF(Datum_Einde_IKV="","",IF(Datum_Einde_IKV&lt;=Tabel135367[[#This Row],[DatEindTv]],Datum_Einde_IKV,"")))</calculatedColumnFormula>
    </tableColumn>
    <tableColumn id="7" xr3:uid="{68997A73-9275-4C00-ADBF-CDA23EB1A1AB}" name="CdRdnEindArbov" dataDxfId="490"/>
    <tableColumn id="8" xr3:uid="{34442EFC-1C6A-49D0-99FC-FA863493A3AC}" name="SrtIV" dataDxfId="489"/>
    <tableColumn id="9" xr3:uid="{8084647A-69CE-4841-BD98-EC09D0DC24AA}" name="CdAard" dataDxfId="488"/>
    <tableColumn id="16" xr3:uid="{751A59DC-DDA1-44A0-81D4-351AE042DAA2}" name="AantVerlU" dataDxfId="487"/>
    <tableColumn id="10" xr3:uid="{BB62C9A1-8526-44DA-97F7-D9C6E1823623}" name="LnSV" dataDxfId="486" dataCellStyle="Valuta"/>
    <tableColumn id="11" xr3:uid="{80B1CBE0-AEA2-4AFA-A659-71CBC72739B8}" name="VakBsl" dataDxfId="485" dataCellStyle="Valuta"/>
    <tableColumn id="12" xr3:uid="{CB3401ED-37B4-41F4-B23E-735C7B7D4462}" name="OpgRchtVakBsl" dataDxfId="484" dataCellStyle="Valuta">
      <calculatedColumnFormula>0.08*Tabel135367[[#This Row],[LnSV]]</calculatedColumnFormula>
    </tableColumn>
    <tableColumn id="13" xr3:uid="{F98F3C98-9A80-4FB2-9707-709FB35A8546}" name="OpnAvwb" dataDxfId="483" dataCellStyle="Valuta"/>
    <tableColumn id="14" xr3:uid="{D9E7A50B-3F48-476B-8A46-32B6818B0163}" name="OpbAvwb" dataDxfId="482" dataCellStyle="Valuta"/>
    <tableColumn id="15" xr3:uid="{04EB6C1D-87E0-4784-A01F-75C46B565804}" name="LnInGld" dataDxfId="481" dataCellStyle="Valuta"/>
    <tableColumn id="21" xr3:uid="{02359E04-F9A6-445B-99AE-2A117E317FDA}" name="CdIncInkVerm" dataDxfId="480" dataCellStyle="Valuta"/>
    <tableColumn id="4" xr3:uid="{07944AAA-06C0-4508-B32D-BA3749DC532C}" name="&lt;RegLn&gt;" dataDxfId="479" dataCellStyle="Valuta">
      <calculatedColumnFormula>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Row],[OpnAvwb]],0))))</calculatedColumnFormula>
    </tableColumn>
    <tableColumn id="17" xr3:uid="{316E55D2-7068-4C18-812A-DF8D2B3704BA}" name="&lt;RegUren&gt;" dataDxfId="478" dataCellStyle="Valuta">
      <calculatedColumnFormula>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Row],[AantVerlU]],0))))</calculatedColumnFormula>
    </tableColumn>
    <tableColumn id="19" xr3:uid="{64D094E7-D5CC-4580-8CF1-57CF06BF1D4C}" name="Loon na einde IKV" dataDxfId="477" dataCellStyle="Valuta">
      <calculatedColumnFormula>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calculatedColumnFormula>
    </tableColumn>
    <tableColumn id="20" xr3:uid="{B743182E-B424-416F-A089-282B6ACF1C31}" name="Uren na einde IKV" dataDxfId="476" dataCellStyle="Valuta">
      <calculatedColumnFormula>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Row],[AantVerlU]],"")),"")</calculatedColumnFormula>
    </tableColumn>
  </tableColumns>
  <tableStyleInfo name="TableStyleMedium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B8262D5E-493F-4DBE-BADB-EA014EC263B8}" name="Tabel1353678922" displayName="Tabel1353678922" ref="E1:Y14" totalsRowShown="0" headerRowDxfId="33" dataDxfId="31" headerRowBorderDxfId="32" tableBorderDxfId="30" totalsRowBorderDxfId="29">
  <autoFilter ref="E1:Y14" xr:uid="{02828E62-E6C4-4A70-BF6E-7F413F33D049}"/>
  <tableColumns count="21">
    <tableColumn id="1" xr3:uid="{A9D64CED-95B0-4783-AB7D-E4ADE833F7BE}" name="Inkomsten-periode" dataDxfId="28">
      <calculatedColumnFormula>IF(OR(Datum_Einde_IKV="",Tabel1353678922[[#This Row],[DatAanvTv]]&lt;Datum_Einde_IKV),IF(E1="december","",IF(Verloningsperiodiciteit="maandelijks",rekenwaarden!F3,_xlfn.CONCAT("Periode ",rekenwaarden!E3))),"")</calculatedColumnFormula>
    </tableColumn>
    <tableColumn id="2" xr3:uid="{B83C1CE8-556C-47E2-90BA-A8636D817004}" name="DatAanvTv" dataDxfId="27">
      <calculatedColumnFormula>IF(AND($B$4="",AE2=""),"",VLOOKUP($B$4,IF(Verloningsperiodiciteit="Vierwekelijks",rekenwaarden!C3:C55,rekenwaarden!I3:I50),1,TRUE))</calculatedColumnFormula>
    </tableColumn>
    <tableColumn id="3" xr3:uid="{3166A8BE-5FBD-4753-BD96-69018E0CAA3D}" name="DatEindTv" dataDxfId="26">
      <calculatedColumnFormula>IF(F2="", "", IF(Verloningsperiodiciteit="Vierwekelijks", _xlfn.XLOOKUP(F2,rekenwaarden!$C$3:$C$54,rekenwaarden!$D$3:$D$54,"niet gevonden",-1), _xlfn.XLOOKUP(F2,rekenwaarden!$I$3:$I$54,rekenwaarden!$J$3:$J$54,"niet gevonden",-1)))</calculatedColumnFormula>
    </tableColumn>
    <tableColumn id="18" xr3:uid="{3AB9152C-F5E9-4078-B2ED-8C03BF1B272E}" name="Leeftijd" dataDxfId="25">
      <calculatedColumnFormula>IF(Tabel1353678922[[#This Row],[Inkomsten-periode]]="","",DATEDIF(Geboortedatum,Tabel1353678922[[#This Row],[DatEindTv]],"Y"))</calculatedColumnFormula>
    </tableColumn>
    <tableColumn id="5" xr3:uid="{26994793-DF9C-40AA-9CE6-BAD6037A69D2}" name="DatAanvIKV" dataDxfId="24">
      <calculatedColumnFormula>IF(Tabel1353678922[[#This Row],[Inkomsten-periode]]="","",IF(Datum_Aanvang_IKV="","",Datum_Aanvang_IKV))</calculatedColumnFormula>
    </tableColumn>
    <tableColumn id="6" xr3:uid="{A2115973-E1F7-4A42-99FC-524BD1AB3F57}" name="DatEindIKV" dataDxfId="23">
      <calculatedColumnFormula>IF(Tabel1353678922[[#This Row],[Inkomsten-periode]]="","",IF(Datum_Einde_IKV="","",IF(Datum_Einde_IKV&lt;=Tabel1353678922[[#This Row],[DatEindTv]],Datum_Einde_IKV,"")))</calculatedColumnFormula>
    </tableColumn>
    <tableColumn id="7" xr3:uid="{570BD9C8-A227-466B-BF07-2CDAA5D1B311}" name="CdRdnEindArbov" dataDxfId="22"/>
    <tableColumn id="8" xr3:uid="{25173B13-A5B5-4D65-A8DE-0B1EE052FBF9}" name="SrtIV" dataDxfId="21"/>
    <tableColumn id="9" xr3:uid="{569150F2-EB45-4B2F-8DB6-A7EAF16BD1DB}" name="CdAard" dataDxfId="20"/>
    <tableColumn id="16" xr3:uid="{1AA805AA-806F-49A2-B1CC-AEB62710A653}" name="AantVerlU" dataDxfId="19"/>
    <tableColumn id="10" xr3:uid="{71B27E07-18E5-4F34-BDC2-2481DF0831FC}" name="LnSV" dataDxfId="18" dataCellStyle="Valuta"/>
    <tableColumn id="11" xr3:uid="{244182D6-E315-4438-AB1B-03EE862BC545}" name="VakBsl" dataDxfId="17" dataCellStyle="Valuta"/>
    <tableColumn id="12" xr3:uid="{095F92E2-8063-465E-9E71-6E90EAE713AB}" name="OpgRchtVakBsl" dataDxfId="16" dataCellStyle="Valuta">
      <calculatedColumnFormula>0.08*Tabel1353678922[[#This Row],[LnSV]]</calculatedColumnFormula>
    </tableColumn>
    <tableColumn id="13" xr3:uid="{4F5DD6FD-D8BC-41E0-8AFB-3696A7952520}" name="OpnAvwb" dataDxfId="15" dataCellStyle="Valuta"/>
    <tableColumn id="14" xr3:uid="{59269D19-0C90-4F60-BDAB-CEF7BA9D8E8A}" name="OpbAvwb" dataDxfId="14" dataCellStyle="Valuta"/>
    <tableColumn id="15" xr3:uid="{BFA98C25-F41E-43B2-A3A5-B343B4EB68B2}" name="LnInGld" dataDxfId="13" dataCellStyle="Valuta"/>
    <tableColumn id="21" xr3:uid="{828BE4D0-54FB-4A89-A248-A3A8CFD998DA}" name="CdIncInkVerm" dataDxfId="12" dataCellStyle="Valuta"/>
    <tableColumn id="4" xr3:uid="{2F32E26D-246B-4E4E-9D4F-0108E0991B20}" name="&lt;RegLn&gt;" dataDxfId="11" dataCellStyle="Valuta">
      <calculatedColumnFormula>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Row],[OpnAvwb]],0))))</calculatedColumnFormula>
    </tableColumn>
    <tableColumn id="17" xr3:uid="{E237E4FA-9381-4865-A164-5A9D6F901F35}" name="&lt;RegUren&gt;" dataDxfId="10" dataCellStyle="Valuta">
      <calculatedColumnFormula>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Row],[AantVerlU]],0))))</calculatedColumnFormula>
    </tableColumn>
    <tableColumn id="19" xr3:uid="{54A2F695-AC36-481B-999D-1191EFC25448}" name="Loon na einde IKV" dataDxfId="9" dataCellStyle="Valuta">
      <calculatedColumnFormula>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calculatedColumnFormula>
    </tableColumn>
    <tableColumn id="20" xr3:uid="{C62920BB-71E7-425B-AEFE-5DF0C5EB1210}" name="Uren na einde IKV" dataDxfId="8" dataCellStyle="Valuta">
      <calculatedColumnFormula>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calculatedColumnFormula>
    </tableColumn>
  </tableColumns>
  <tableStyleInfo name="TableStyleMedium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932E0F-85C6-48F1-ACCB-29990AB237E5}" name="Tabel3" displayName="Tabel3" ref="A2:D29" totalsRowShown="0" tableBorderDxfId="7">
  <autoFilter ref="A2:D29" xr:uid="{FB932E0F-85C6-48F1-ACCB-29990AB237E5}"/>
  <tableColumns count="4">
    <tableColumn id="1" xr3:uid="{B9D200A2-9E4D-495D-A4D7-691CE9CD9A83}" name="Jaar" dataDxfId="6" dataCellStyle="Standaard 3"/>
    <tableColumn id="2" xr3:uid="{D10EB57D-5F55-48F3-BCA6-A48DEF5D4FE1}" name="Periode" dataDxfId="5" dataCellStyle="Standaard 3"/>
    <tableColumn id="3" xr3:uid="{4AA9ACC2-E492-4BDD-B017-EB9440E3E10C}" name="Begin" dataDxfId="4" dataCellStyle="Standaard 3">
      <calculatedColumnFormula>IF(B3=1,DATE(A3,B3,1),C2 + 28 + IF(B3=2, 4 - WEEKDAY(C2,15), 0))</calculatedColumnFormula>
    </tableColumn>
    <tableColumn id="4" xr3:uid="{69D7B19E-342F-4E1E-A744-3696623AF5D6}" name="Eind" dataDxfId="3" dataCellStyle="Standaard 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B2E060-D060-45C7-8A9F-AA503F4CB3A8}" name="Tabel1353" displayName="Tabel1353" ref="E1:Y14" totalsRowShown="0" headerRowDxfId="475" dataDxfId="473" headerRowBorderDxfId="474" tableBorderDxfId="472" totalsRowBorderDxfId="471">
  <autoFilter ref="E1:Y14" xr:uid="{02828E62-E6C4-4A70-BF6E-7F413F33D049}"/>
  <tableColumns count="21">
    <tableColumn id="1" xr3:uid="{2AD8C982-D4B2-4054-BE33-827AA929E662}" name="Inkomsten-periode" dataDxfId="470">
      <calculatedColumnFormula>IF(OR(Datum_Einde_IKV="",Tabel1353[[#This Row],[DatAanvTv]]&lt;Datum_Einde_IKV),IF(E1="december","",IF(Verloningsperiodiciteit="maandelijks",rekenwaarden!F3,_xlfn.CONCAT("Periode ",rekenwaarden!E3))),"")</calculatedColumnFormula>
    </tableColumn>
    <tableColumn id="2" xr3:uid="{A59CC4F3-EEAB-4E77-84D4-C964E471ABC7}" name="DatAanvTv" dataDxfId="469">
      <calculatedColumnFormula>IF(AND($B$4="",AE2=""),"",VLOOKUP($B$4,IF(Verloningsperiodiciteit="Vierwekelijks",rekenwaarden!C3:C55,rekenwaarden!I3:I50),1,TRUE))</calculatedColumnFormula>
    </tableColumn>
    <tableColumn id="3" xr3:uid="{57C97B87-6E54-4F92-96D6-AE8824CD0AF2}" name="DatEindTv" dataDxfId="468">
      <calculatedColumnFormula>IF(F2="", "", IF(Verloningsperiodiciteit="Vierwekelijks", _xlfn.XLOOKUP(F2,rekenwaarden!$C$3:$C$54,rekenwaarden!$D$3:$D$54,"niet gevonden",-1), _xlfn.XLOOKUP(F2,rekenwaarden!$I$3:$I$54,rekenwaarden!$J$3:$J$54,"niet gevonden",-1)))</calculatedColumnFormula>
    </tableColumn>
    <tableColumn id="18" xr3:uid="{D9F97743-73E0-4763-B031-314094713A0B}" name="Leeftijd" dataDxfId="467">
      <calculatedColumnFormula>IF(Tabel1353[[#This Row],[Inkomsten-periode]]="","",DATEDIF(Geboortedatum,Tabel1353[[#This Row],[DatEindTv]],"Y"))</calculatedColumnFormula>
    </tableColumn>
    <tableColumn id="5" xr3:uid="{EB4E93F2-9F63-4EB6-B03B-28903329B588}" name="DatAanvIKV" dataDxfId="466">
      <calculatedColumnFormula>IF(Tabel1353[[#This Row],[Inkomsten-periode]]="","",IF(Datum_Aanvang_IKV="","",Datum_Aanvang_IKV))</calculatedColumnFormula>
    </tableColumn>
    <tableColumn id="6" xr3:uid="{B02933B7-8A45-4DC3-935F-32171609AF94}" name="DatEindIKV" dataDxfId="465">
      <calculatedColumnFormula>IF(Tabel1353[[#This Row],[Inkomsten-periode]]="","",IF(Datum_Einde_IKV="","",IF(Datum_Einde_IKV&lt;=Tabel1353[[#This Row],[DatEindTv]],Datum_Einde_IKV,"")))</calculatedColumnFormula>
    </tableColumn>
    <tableColumn id="7" xr3:uid="{667087B1-8348-4016-9B32-AA913D178580}" name="CdRdnEindArbov" dataDxfId="464"/>
    <tableColumn id="8" xr3:uid="{B3F44559-DE9C-4C80-8415-3FBB4072D2C2}" name="SrtIV" dataDxfId="463"/>
    <tableColumn id="9" xr3:uid="{BE2B7454-9F3B-4EA3-AAEA-EDBB4FDCF7AD}" name="CdAard" dataDxfId="462"/>
    <tableColumn id="16" xr3:uid="{7F896E95-9116-406F-9C3F-766E7851315B}" name="AantVerlU" dataDxfId="461"/>
    <tableColumn id="10" xr3:uid="{63F8603C-CA97-4292-95A5-C826788C64CC}" name="LnSV" dataDxfId="460" dataCellStyle="Valuta"/>
    <tableColumn id="11" xr3:uid="{53BE53EB-9F24-4535-A3F9-7C1A5B883E4C}" name="VakBsl" dataDxfId="459" dataCellStyle="Valuta"/>
    <tableColumn id="12" xr3:uid="{5A070B36-4B66-4FA5-953C-870ADF05A2B9}" name="OpgRchtVakBsl" dataDxfId="458" dataCellStyle="Valuta">
      <calculatedColumnFormula>0.08*Tabel1353[[#This Row],[LnSV]]</calculatedColumnFormula>
    </tableColumn>
    <tableColumn id="13" xr3:uid="{68D5606B-6CA5-48C5-AEEB-87F13B169240}" name="OpnAvwb" dataDxfId="457" dataCellStyle="Valuta"/>
    <tableColumn id="14" xr3:uid="{A80DC40A-E329-4F60-A0B8-B95F55BA2054}" name="OpbAvwb" dataDxfId="456" dataCellStyle="Valuta"/>
    <tableColumn id="15" xr3:uid="{E077E839-3517-44D0-8479-95A3145E0C84}" name="LnInGld" dataDxfId="455" dataCellStyle="Valuta"/>
    <tableColumn id="21" xr3:uid="{8B5A6474-7C79-4566-BA5B-5A21163C8BB0}" name="CdIncInkVerm" dataDxfId="454" dataCellStyle="Valuta"/>
    <tableColumn id="4" xr3:uid="{D371EE78-780B-417A-86FF-C60AB6CCC56A}" name="&lt;RegLn&gt;" dataDxfId="453" dataCellStyle="Valuta">
      <calculatedColumnFormula>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Row],[OpnAvwb]],0))))</calculatedColumnFormula>
    </tableColumn>
    <tableColumn id="17" xr3:uid="{24FE424F-EF09-4B05-A289-F891329408A9}" name="&lt;RegUren&gt;" dataDxfId="452" dataCellStyle="Valuta">
      <calculatedColumnFormula>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Row],[AantVerlU]],0))))</calculatedColumnFormula>
    </tableColumn>
    <tableColumn id="19" xr3:uid="{E1958DB0-B7F0-4D4B-81C7-FCD9A209A54B}" name="Loon na einde IKV" dataDxfId="451" dataCellStyle="Valuta">
      <calculatedColumnFormula>IF(Tabel1353[[#This Row],[Inkomsten-periode]]="",IF(Tabel1353[[#This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calculatedColumnFormula>
    </tableColumn>
    <tableColumn id="20" xr3:uid="{0F673404-73C5-4D02-892B-85371F8CC1C0}" name="Uren na einde IKV" dataDxfId="450" dataCellStyle="Valuta">
      <calculatedColumnFormula>IF(Tabel1353[[#This Row],[Inkomsten-periode]]="",IF(Tabel1353[[#This Row],[CdRdnEindArbov]]=33,0,IF(AND(OR(Tabel1353[[#This Row],[SrtIV]]=13,Tabel1353[[#This Row],[SrtIV]]=15,Tabel1353[[#This Row],[SrtIV]]=31),OR(Tabel1353[[#This Row],[CdAard]]=1,Tabel1353[[#This Row],[CdAard]]=11,Tabel1353[[#This Row],[CdAard]]=82,Tabel1353[[#This Row],[CdAard]]=83)),Tabel1353[[#This Row],[AantVerlU]],"")),"")</calculatedColumnFormula>
    </tableColumn>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265153C-4B02-4157-B4B1-46F9CD51D849}" name="Tabel13536" displayName="Tabel13536" ref="E1:Y14" totalsRowShown="0" headerRowDxfId="449" dataDxfId="447" headerRowBorderDxfId="448" tableBorderDxfId="446" totalsRowBorderDxfId="445">
  <autoFilter ref="E1:Y14" xr:uid="{02828E62-E6C4-4A70-BF6E-7F413F33D049}"/>
  <tableColumns count="21">
    <tableColumn id="1" xr3:uid="{4DE199A9-F893-4FAE-BF51-D5AD2835A6A5}" name="Inkomsten-periode" dataDxfId="444">
      <calculatedColumnFormula>IF(OR(Datum_Einde_IKV="",Tabel13536[[#This Row],[DatAanvTv]]&lt;Datum_Einde_IKV),IF(E1="december","",IF(Verloningsperiodiciteit="maandelijks",rekenwaarden!F3,_xlfn.CONCAT("Periode ",rekenwaarden!E3))),"")</calculatedColumnFormula>
    </tableColumn>
    <tableColumn id="2" xr3:uid="{5993BC48-9F91-44FE-AD5A-5BF335130BB2}" name="DatAanvTv" dataDxfId="443">
      <calculatedColumnFormula>IF(AND($B$4="",AE2=""),"",VLOOKUP($B$4,IF(Verloningsperiodiciteit="Vierwekelijks",rekenwaarden!C3:C55,rekenwaarden!I3:I50),1,TRUE))</calculatedColumnFormula>
    </tableColumn>
    <tableColumn id="3" xr3:uid="{D5D0304F-081B-41BF-9B55-DD3C0CD54160}" name="DatEindTv" dataDxfId="442">
      <calculatedColumnFormula>IF(F2="", "", IF(Verloningsperiodiciteit="Vierwekelijks", _xlfn.XLOOKUP(F2,rekenwaarden!$C$3:$C$54,rekenwaarden!$D$3:$D$54,"niet gevonden",-1), _xlfn.XLOOKUP(F2,rekenwaarden!$I$3:$I$54,rekenwaarden!$J$3:$J$54,"niet gevonden",-1)))</calculatedColumnFormula>
    </tableColumn>
    <tableColumn id="18" xr3:uid="{AECE479F-2E2A-4751-B176-7CFC136DF432}" name="Leeftijd" dataDxfId="441">
      <calculatedColumnFormula>IF(Tabel13536[[#This Row],[Inkomsten-periode]]="","",DATEDIF(Geboortedatum,Tabel13536[[#This Row],[DatEindTv]],"Y"))</calculatedColumnFormula>
    </tableColumn>
    <tableColumn id="5" xr3:uid="{ACDEC3AF-7D0B-4EA0-B8A7-67E4F790AC34}" name="DatAanvIKV" dataDxfId="440">
      <calculatedColumnFormula>IF(Tabel13536[[#This Row],[Inkomsten-periode]]="","",IF(Datum_Aanvang_IKV="","",Datum_Aanvang_IKV))</calculatedColumnFormula>
    </tableColumn>
    <tableColumn id="6" xr3:uid="{80C37E40-00B6-4372-AB38-6EF7BC2247CC}" name="DatEindIKV" dataDxfId="439">
      <calculatedColumnFormula>IF(Tabel13536[[#This Row],[Inkomsten-periode]]="","",IF(Datum_Einde_IKV="","",IF(Datum_Einde_IKV&lt;=Tabel13536[[#This Row],[DatEindTv]],Datum_Einde_IKV,"")))</calculatedColumnFormula>
    </tableColumn>
    <tableColumn id="7" xr3:uid="{AF94E42B-33AF-4F5E-BC1B-36F03A58BDF7}" name="CdRdnEindArbov" dataDxfId="438"/>
    <tableColumn id="8" xr3:uid="{2DE57359-BA6F-4803-AA0F-02BFBD43D4CB}" name="SrtIV" dataDxfId="437"/>
    <tableColumn id="9" xr3:uid="{A53CC567-7631-4601-8286-2BAD30C4CDF9}" name="CdAard" dataDxfId="436"/>
    <tableColumn id="16" xr3:uid="{11A81FF9-F516-4A09-9A24-0E59F30FC4D3}" name="AantVerlU" dataDxfId="435"/>
    <tableColumn id="10" xr3:uid="{60B54D46-DCB9-4C12-BA59-3062DEFA6E70}" name="LnSV" dataDxfId="434" dataCellStyle="Valuta"/>
    <tableColumn id="11" xr3:uid="{6BFED74B-CCE0-4857-B8B4-8B718B4D4604}" name="VakBsl" dataDxfId="433" dataCellStyle="Valuta"/>
    <tableColumn id="12" xr3:uid="{49555AB8-6AA5-45CB-A478-261BE45016EE}" name="OpgRchtVakBsl" dataDxfId="432" dataCellStyle="Valuta">
      <calculatedColumnFormula>0.08*Tabel13536[[#This Row],[LnSV]]</calculatedColumnFormula>
    </tableColumn>
    <tableColumn id="13" xr3:uid="{8567CDAB-BC85-47E9-8EC2-6167CA165936}" name="OpnAvwb" dataDxfId="431" dataCellStyle="Valuta"/>
    <tableColumn id="14" xr3:uid="{1913DD3B-B04F-4D88-B746-AFD1D86B8105}" name="OpbAvwb" dataDxfId="430" dataCellStyle="Valuta"/>
    <tableColumn id="15" xr3:uid="{4A02C89F-7FC9-4473-94B6-219BD898ACB4}" name="LnInGld" dataDxfId="429" dataCellStyle="Valuta"/>
    <tableColumn id="21" xr3:uid="{EA2D3869-B411-47C6-A860-D8D5D225A6FF}" name="CdIncInkVerm" dataDxfId="428" dataCellStyle="Valuta"/>
    <tableColumn id="4" xr3:uid="{EDE7E5B2-4741-4E94-ACA6-3E48D61F75C8}" name="&lt;RegLn&gt;" dataDxfId="427" dataCellStyle="Valuta">
      <calculatedColumnFormula>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Row],[OpnAvwb]],0))))</calculatedColumnFormula>
    </tableColumn>
    <tableColumn id="17" xr3:uid="{3A4A1117-FA81-4808-B2A5-F4DAC4884FE5}" name="&lt;RegUren&gt;" dataDxfId="426" dataCellStyle="Valuta">
      <calculatedColumnFormula>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Row],[AantVerlU]],0))))</calculatedColumnFormula>
    </tableColumn>
    <tableColumn id="19" xr3:uid="{23E9F840-9DA5-4393-9B1F-ABDA6152A119}" name="Loon na einde IKV" dataDxfId="425" dataCellStyle="Valuta">
      <calculatedColumnFormula>IF(Tabel13536[[#This Row],[Inkomsten-periode]]="",IF(Tabel13536[[#This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calculatedColumnFormula>
    </tableColumn>
    <tableColumn id="20" xr3:uid="{95107470-4C6E-4660-8667-D5AF8C81BD0A}" name="Uren na einde IKV" dataDxfId="424" dataCellStyle="Valuta">
      <calculatedColumnFormula>IF(Tabel13536[[#This Row],[Inkomsten-periode]]="",IF(Tabel13536[[#This Row],[CdRdnEindArbov]]=33,0,IF(AND(OR(Tabel13536[[#This Row],[SrtIV]]=13,Tabel13536[[#This Row],[SrtIV]]=15,Tabel13536[[#This Row],[SrtIV]]=31),OR(Tabel13536[[#This Row],[CdAard]]=1,Tabel13536[[#This Row],[CdAard]]=11,Tabel13536[[#This Row],[CdAard]]=82,Tabel13536[[#This Row],[CdAard]]=83)),Tabel13536[[#This Row],[AantVerlU]],"")),"")</calculatedColumnFormula>
    </tableColumn>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4188215-6337-49B4-94A6-85D191475AEB}" name="Tabel1353615" displayName="Tabel1353615" ref="E1:Y14" totalsRowShown="0" headerRowDxfId="423" dataDxfId="421" headerRowBorderDxfId="422" tableBorderDxfId="420" totalsRowBorderDxfId="419">
  <autoFilter ref="E1:Y14" xr:uid="{02828E62-E6C4-4A70-BF6E-7F413F33D049}"/>
  <tableColumns count="21">
    <tableColumn id="1" xr3:uid="{93BC89BE-E817-487C-BD71-BA2D0F796A5B}" name="Inkomsten-periode" dataDxfId="418">
      <calculatedColumnFormula>IF(OR(Datum_Einde_IKV="",Tabel1353615[[#This Row],[DatAanvTv]]&lt;Datum_Einde_IKV),IF(E1="december","",IF(Verloningsperiodiciteit="maandelijks",rekenwaarden!F3,_xlfn.CONCAT("Periode ",rekenwaarden!E3))),"")</calculatedColumnFormula>
    </tableColumn>
    <tableColumn id="2" xr3:uid="{7C937E28-96BF-4101-8E9B-6F6B6674F6AC}" name="DatAanvTv" dataDxfId="417">
      <calculatedColumnFormula>IF(AND($B$4="",AE2=""),"",VLOOKUP($B$4,IF(Verloningsperiodiciteit="Vierwekelijks",rekenwaarden!C3:C55,rekenwaarden!I3:I50),1,TRUE))</calculatedColumnFormula>
    </tableColumn>
    <tableColumn id="3" xr3:uid="{E1040954-5C48-46DB-B4E1-338B2778903B}" name="DatEindTv" dataDxfId="416">
      <calculatedColumnFormula>IF(F2="", "", IF(Verloningsperiodiciteit="Vierwekelijks", _xlfn.XLOOKUP(F2,rekenwaarden!$C$3:$C$54,rekenwaarden!$D$3:$D$54,"niet gevonden",-1), _xlfn.XLOOKUP(F2,rekenwaarden!$I$3:$I$54,rekenwaarden!$J$3:$J$54,"niet gevonden",-1)))</calculatedColumnFormula>
    </tableColumn>
    <tableColumn id="18" xr3:uid="{1F1124D4-1B51-4B31-BDE4-C6ACD3F91B90}" name="Leeftijd" dataDxfId="415">
      <calculatedColumnFormula>IF(Tabel1353615[[#This Row],[Inkomsten-periode]]="","",DATEDIF(Geboortedatum,Tabel1353615[[#This Row],[DatEindTv]],"Y"))</calculatedColumnFormula>
    </tableColumn>
    <tableColumn id="5" xr3:uid="{A41E489E-558B-4556-9696-322414D84E5B}" name="DatAanvIKV" dataDxfId="414">
      <calculatedColumnFormula>IF(Tabel1353615[[#This Row],[Inkomsten-periode]]="","",IF(Datum_Aanvang_IKV="","",Datum_Aanvang_IKV))</calculatedColumnFormula>
    </tableColumn>
    <tableColumn id="6" xr3:uid="{67CEB3CA-2608-44F5-816C-7CB7CB230320}" name="DatEindIKV" dataDxfId="413">
      <calculatedColumnFormula>IF(Tabel1353615[[#This Row],[Inkomsten-periode]]="","",IF(Datum_Einde_IKV="","",IF(Datum_Einde_IKV&lt;=Tabel1353615[[#This Row],[DatEindTv]],Datum_Einde_IKV,"")))</calculatedColumnFormula>
    </tableColumn>
    <tableColumn id="7" xr3:uid="{0BA99B8D-65EF-44FF-90C3-0BDCC2D93ADB}" name="CdRdnEindArbov" dataDxfId="412"/>
    <tableColumn id="8" xr3:uid="{AB19107B-FD24-4E30-98C6-C8D008D7E0F4}" name="SrtIV" dataDxfId="411"/>
    <tableColumn id="9" xr3:uid="{9FB503E8-2684-49B0-92BA-C0B5DF20F256}" name="CdAard" dataDxfId="410"/>
    <tableColumn id="16" xr3:uid="{1578B943-E418-4E0E-8921-02C55273F1A7}" name="AantVerlU" dataDxfId="409"/>
    <tableColumn id="10" xr3:uid="{7FB373DB-0597-4EBA-A63E-BF0867614705}" name="LnSV" dataDxfId="408" dataCellStyle="Valuta"/>
    <tableColumn id="11" xr3:uid="{62D9AD46-0510-4BEC-ADCF-30A6E81AABAD}" name="VakBsl" dataDxfId="407" dataCellStyle="Valuta"/>
    <tableColumn id="12" xr3:uid="{DDDE0F44-3D4B-4EB5-8EF0-1A0CFF45A7D6}" name="OpgRchtVakBsl" dataDxfId="406" dataCellStyle="Valuta">
      <calculatedColumnFormula>0.08*Tabel1353615[[#This Row],[LnSV]]</calculatedColumnFormula>
    </tableColumn>
    <tableColumn id="13" xr3:uid="{3A374E24-6C9F-4E5F-8BC3-4E07AA7E2DAD}" name="OpnAvwb" dataDxfId="405" dataCellStyle="Valuta"/>
    <tableColumn id="14" xr3:uid="{050E7E0C-6D39-481F-BBE3-80AA95E1EF99}" name="OpbAvwb" dataDxfId="404" dataCellStyle="Valuta"/>
    <tableColumn id="15" xr3:uid="{1FC84FA8-466F-47EE-99A1-0BC7CEDF251E}" name="LnInGld" dataDxfId="403" dataCellStyle="Valuta"/>
    <tableColumn id="21" xr3:uid="{BBD48DA9-1512-4C51-BE79-B6555EB3CA63}" name="CdIncInkVerm" dataDxfId="402" dataCellStyle="Valuta"/>
    <tableColumn id="4" xr3:uid="{ED3F4C01-F853-4CB0-9583-2FA6AFCA96EE}" name="&lt;RegLn&gt;" dataDxfId="401" dataCellStyle="Valuta">
      <calculatedColumnFormula>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Row],[OpnAvwb]],0))))</calculatedColumnFormula>
    </tableColumn>
    <tableColumn id="17" xr3:uid="{E03A9A82-5D0F-44AE-AB4C-8E263F50BD1C}" name="&lt;RegUren&gt;" dataDxfId="400" dataCellStyle="Valuta">
      <calculatedColumnFormula>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Row],[AantVerlU]],0))))</calculatedColumnFormula>
    </tableColumn>
    <tableColumn id="19" xr3:uid="{0818478A-9EAB-4178-A60B-63F4892F46D9}" name="Loon na einde IKV" dataDxfId="399" dataCellStyle="Valuta">
      <calculatedColumnFormula>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calculatedColumnFormula>
    </tableColumn>
    <tableColumn id="20" xr3:uid="{E69BD9B7-C186-49AD-8473-C31D5A771AB2}" name="Uren na einde IKV" dataDxfId="398" dataCellStyle="Valuta">
      <calculatedColumnFormula>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Row],[AantVerlU]],"")),"")</calculatedColumnFormula>
    </tableColumn>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4AD41A3-4FFF-4119-8EDE-951EA7D53347}" name="Tabel13531421" displayName="Tabel13531421" ref="E1:Y14" totalsRowShown="0" headerRowDxfId="397" dataDxfId="395" headerRowBorderDxfId="396" tableBorderDxfId="394" totalsRowBorderDxfId="393">
  <autoFilter ref="E1:Y14" xr:uid="{02828E62-E6C4-4A70-BF6E-7F413F33D049}"/>
  <tableColumns count="21">
    <tableColumn id="1" xr3:uid="{C82FF715-429F-4615-ABDA-D27B829E4145}" name="Inkomsten-periode" dataDxfId="392">
      <calculatedColumnFormula>IF(OR(Datum_Einde_IKV="",Tabel13531421[[#This Row],[DatAanvTv]]&lt;Datum_Einde_IKV),IF(E1="december","",IF(Verloningsperiodiciteit="maandelijks",rekenwaarden!F3,_xlfn.CONCAT("Periode ",rekenwaarden!E3))),"")</calculatedColumnFormula>
    </tableColumn>
    <tableColumn id="2" xr3:uid="{67759AC0-CB4E-4D68-A701-1206812CAA76}" name="DatAanvTv" dataDxfId="391">
      <calculatedColumnFormula>IF(AND($B$4="",AE2=""),"",VLOOKUP($B$4,IF(Verloningsperiodiciteit="Vierwekelijks",rekenwaarden!C3:C55,rekenwaarden!I3:I50),1,TRUE))</calculatedColumnFormula>
    </tableColumn>
    <tableColumn id="3" xr3:uid="{F6C2D9F0-3701-41DC-A260-8447964B9AE8}" name="DatEindTv" dataDxfId="390">
      <calculatedColumnFormula>IF(F2="", "", IF(Verloningsperiodiciteit="Vierwekelijks", _xlfn.XLOOKUP(F2,rekenwaarden!$C$3:$C$54,rekenwaarden!$D$3:$D$54,"niet gevonden",-1), _xlfn.XLOOKUP(F2,rekenwaarden!$I$3:$I$54,rekenwaarden!$J$3:$J$54,"niet gevonden",-1)))</calculatedColumnFormula>
    </tableColumn>
    <tableColumn id="18" xr3:uid="{25EFA9BA-99B2-4292-90D6-4DF46760AF5F}" name="Leeftijd" dataDxfId="389">
      <calculatedColumnFormula>IF(Tabel13531421[[#This Row],[Inkomsten-periode]]="","",DATEDIF(Geboortedatum,Tabel13531421[[#This Row],[DatEindTv]],"Y"))</calculatedColumnFormula>
    </tableColumn>
    <tableColumn id="5" xr3:uid="{A59F2D5D-2453-4652-9664-F92218E502B0}" name="DatAanvIKV" dataDxfId="388">
      <calculatedColumnFormula>IF(Tabel13531421[[#This Row],[Inkomsten-periode]]="","",IF(Datum_Aanvang_IKV="","",Datum_Aanvang_IKV))</calculatedColumnFormula>
    </tableColumn>
    <tableColumn id="6" xr3:uid="{A7A7E202-79B3-4931-B084-41E5107DA508}" name="DatEindIKV" dataDxfId="387">
      <calculatedColumnFormula>IF(Tabel13531421[[#This Row],[Inkomsten-periode]]="","",IF(Datum_Einde_IKV="","",IF(Datum_Einde_IKV&lt;=Tabel13531421[[#This Row],[DatEindTv]],Datum_Einde_IKV,"")))</calculatedColumnFormula>
    </tableColumn>
    <tableColumn id="7" xr3:uid="{D158D44F-AE34-4F79-8DBC-4DF46CB2D05C}" name="CdRdnEindArbov" dataDxfId="386"/>
    <tableColumn id="8" xr3:uid="{C5F33119-FC52-45AA-BB4C-DE5AA3DA102B}" name="SrtIV" dataDxfId="385"/>
    <tableColumn id="9" xr3:uid="{A29D660D-E802-4D80-808C-860EC18FCDF5}" name="CdAard" dataDxfId="384"/>
    <tableColumn id="16" xr3:uid="{727B4586-0C39-437A-A669-2BF13364020F}" name="AantVerlU" dataDxfId="383"/>
    <tableColumn id="10" xr3:uid="{F56D3B02-B4F3-4EF1-83AA-881C52D3C340}" name="LnSV" dataDxfId="382" dataCellStyle="Valuta"/>
    <tableColumn id="11" xr3:uid="{418A9456-A615-4A2A-A576-D9D8A37A8E75}" name="VakBsl" dataDxfId="381" dataCellStyle="Valuta"/>
    <tableColumn id="12" xr3:uid="{2E9C6D4B-A759-4063-A076-F33EB1810BDB}" name="OpgRchtVakBsl" dataDxfId="380" dataCellStyle="Valuta">
      <calculatedColumnFormula>0.08*Tabel13531421[[#This Row],[LnSV]]</calculatedColumnFormula>
    </tableColumn>
    <tableColumn id="13" xr3:uid="{64DA5B2A-BF14-4CCD-A74B-B80C77E8689F}" name="OpnAvwb" dataDxfId="379" dataCellStyle="Valuta"/>
    <tableColumn id="14" xr3:uid="{82D30E6C-4A81-4A4C-B278-F248F5D6826B}" name="OpbAvwb" dataDxfId="378" dataCellStyle="Valuta"/>
    <tableColumn id="15" xr3:uid="{58BC1AE0-F38A-4472-A7B5-78F31975C229}" name="LnInGld" dataDxfId="377" dataCellStyle="Valuta"/>
    <tableColumn id="21" xr3:uid="{227CDEF5-D8C6-4FC3-8F4E-A9BEF09FB045}" name="CdIncInkVerm" dataDxfId="376" dataCellStyle="Valuta"/>
    <tableColumn id="4" xr3:uid="{208AF91A-88B5-4A21-8045-0CFE9950059B}" name="&lt;RegLn&gt;" dataDxfId="375" dataCellStyle="Valuta">
      <calculatedColumnFormula>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Row],[OpnAvwb]],0))))</calculatedColumnFormula>
    </tableColumn>
    <tableColumn id="17" xr3:uid="{2514FCFC-2D08-41B8-8BEC-85F100CC3B97}" name="&lt;RegUren&gt;" dataDxfId="374" dataCellStyle="Valuta">
      <calculatedColumnFormula>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Row],[AantVerlU]],0))))</calculatedColumnFormula>
    </tableColumn>
    <tableColumn id="19" xr3:uid="{E78A42CD-BA09-4B8D-919D-841ED6AAFEEF}" name="Loon na einde IKV" dataDxfId="373" dataCellStyle="Valuta">
      <calculatedColumnFormula>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calculatedColumnFormula>
    </tableColumn>
    <tableColumn id="20" xr3:uid="{1689F563-B20D-4465-BD53-77E7EE46E38E}" name="Uren na einde IKV" dataDxfId="372" dataCellStyle="Valuta">
      <calculatedColumnFormula>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Row],[AantVerlU]],"")),"")</calculatedColumnFormula>
    </tableColumn>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34727CD-85BD-4E6E-B7E0-88BCE1887065}" name="Tabel1353142123" displayName="Tabel1353142123" ref="E1:Y14" totalsRowShown="0" headerRowDxfId="371" dataDxfId="369" headerRowBorderDxfId="370" tableBorderDxfId="368" totalsRowBorderDxfId="367">
  <autoFilter ref="E1:Y14" xr:uid="{02828E62-E6C4-4A70-BF6E-7F413F33D049}"/>
  <tableColumns count="21">
    <tableColumn id="1" xr3:uid="{B42ECC6E-D55C-44D8-9D24-55C96F915270}" name="Inkomsten-periode" dataDxfId="366">
      <calculatedColumnFormula>IF(OR(Datum_Einde_IKV="",Tabel1353142123[[#This Row],[DatAanvTv]]&lt;Datum_Einde_IKV),IF(E1="december","",IF(Verloningsperiodiciteit="maandelijks",rekenwaarden!F3,_xlfn.CONCAT("Periode ",rekenwaarden!E3))),"")</calculatedColumnFormula>
    </tableColumn>
    <tableColumn id="2" xr3:uid="{91373DDF-6091-4276-AA95-D6399D7CB723}" name="DatAanvTv" dataDxfId="365">
      <calculatedColumnFormula>IF(AND($B$4="",AE2=""),"",VLOOKUP($B$4,IF(Verloningsperiodiciteit="Vierwekelijks",rekenwaarden!C3:C55,rekenwaarden!I3:I50),1,TRUE))</calculatedColumnFormula>
    </tableColumn>
    <tableColumn id="3" xr3:uid="{7C836677-78DF-4CB7-8F8F-918106FDBE3A}" name="DatEindTv" dataDxfId="364">
      <calculatedColumnFormula>IF(F2="", "", IF(Verloningsperiodiciteit="Vierwekelijks", _xlfn.XLOOKUP(F2,rekenwaarden!$C$3:$C$54,rekenwaarden!$D$3:$D$54,"niet gevonden",-1), _xlfn.XLOOKUP(F2,rekenwaarden!$I$3:$I$54,rekenwaarden!$J$3:$J$54,"niet gevonden",-1)))</calculatedColumnFormula>
    </tableColumn>
    <tableColumn id="18" xr3:uid="{1F251964-4CC2-4DE5-A0BD-81F4F664AF60}" name="Leeftijd" dataDxfId="363">
      <calculatedColumnFormula>IF(Tabel1353142123[[#This Row],[Inkomsten-periode]]="","",DATEDIF(Geboortedatum,Tabel1353142123[[#This Row],[DatEindTv]],"Y"))</calculatedColumnFormula>
    </tableColumn>
    <tableColumn id="5" xr3:uid="{81E957F7-13DE-4054-AD28-F4BE8996E17A}" name="DatAanvIKV" dataDxfId="362">
      <calculatedColumnFormula>IF(Tabel1353142123[[#This Row],[Inkomsten-periode]]="","",IF(Datum_Aanvang_IKV="","",Datum_Aanvang_IKV))</calculatedColumnFormula>
    </tableColumn>
    <tableColumn id="6" xr3:uid="{272EC63A-95C4-4BB0-AAEA-D13435ADE6E3}" name="DatEindIKV" dataDxfId="361">
      <calculatedColumnFormula>IF(Tabel1353142123[[#This Row],[Inkomsten-periode]]="","",IF(Datum_Einde_IKV="","",IF(Datum_Einde_IKV&lt;=Tabel1353142123[[#This Row],[DatEindTv]],Datum_Einde_IKV,"")))</calculatedColumnFormula>
    </tableColumn>
    <tableColumn id="7" xr3:uid="{37AFD4B2-20C1-4712-9547-AFBB9B564A23}" name="CdRdnEindArbov" dataDxfId="360"/>
    <tableColumn id="8" xr3:uid="{AC898060-7741-4ED7-B753-6D37F028E888}" name="SrtIV" dataDxfId="359"/>
    <tableColumn id="9" xr3:uid="{BBAD647B-B918-4E62-96DF-D2C10065CBA8}" name="CdAard" dataDxfId="358"/>
    <tableColumn id="16" xr3:uid="{E2B216EA-CFB7-4B88-86B6-16EFADA988ED}" name="AantVerlU" dataDxfId="357"/>
    <tableColumn id="10" xr3:uid="{A5A17964-5F4B-4334-9B90-96694B7AE00F}" name="LnSV" dataDxfId="356" dataCellStyle="Valuta"/>
    <tableColumn id="11" xr3:uid="{04902BC2-F28E-4AFC-9A92-50EA06AA0203}" name="VakBsl" dataDxfId="355" dataCellStyle="Valuta"/>
    <tableColumn id="12" xr3:uid="{5627C87C-1E25-406B-8FB4-59FF30C8617A}" name="OpgRchtVakBsl" dataDxfId="354" dataCellStyle="Valuta">
      <calculatedColumnFormula>0.08*Tabel1353142123[[#This Row],[LnSV]]</calculatedColumnFormula>
    </tableColumn>
    <tableColumn id="13" xr3:uid="{09DE0EC6-FE35-4C39-92E7-A9CEBC6032AE}" name="OpnAvwb" dataDxfId="353" dataCellStyle="Valuta"/>
    <tableColumn id="14" xr3:uid="{57E2A0A1-8E49-4BB6-B3AC-0256B777802B}" name="OpbAvwb" dataDxfId="352" dataCellStyle="Valuta"/>
    <tableColumn id="15" xr3:uid="{B3ADDEED-849D-4768-B33E-88FF58E7AB24}" name="LnInGld" dataDxfId="351" dataCellStyle="Valuta"/>
    <tableColumn id="21" xr3:uid="{5ECBD978-8AE2-458F-97E2-46CA2F2D562D}" name="CdIncInkVerm" dataDxfId="350" dataCellStyle="Valuta"/>
    <tableColumn id="4" xr3:uid="{35B4CF78-BBFD-4B26-A32D-9DC496C32ECB}" name="&lt;RegLn&gt;" dataDxfId="349" dataCellStyle="Valuta">
      <calculatedColumnFormula>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Row],[OpnAvwb]],0))))</calculatedColumnFormula>
    </tableColumn>
    <tableColumn id="17" xr3:uid="{F96E2337-049C-4B9F-8C7D-41E8D623C2E1}" name="&lt;RegUren&gt;" dataDxfId="348" dataCellStyle="Valuta">
      <calculatedColumnFormula>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Row],[AantVerlU]],0))))</calculatedColumnFormula>
    </tableColumn>
    <tableColumn id="19" xr3:uid="{FDFE0D40-F06F-428C-AB6E-7ECBB87F324A}" name="Loon na einde IKV" dataDxfId="347" dataCellStyle="Valuta">
      <calculatedColumnFormula>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calculatedColumnFormula>
    </tableColumn>
    <tableColumn id="20" xr3:uid="{1D9A5041-7ECD-44BB-A8D8-131214B23894}" name="Uren na einde IKV" dataDxfId="346" dataCellStyle="Valuta">
      <calculatedColumnFormula>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calculatedColumnFormula>
    </tableColumn>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CB1548D-17DB-4F97-9062-DAB4C5451D23}" name="Tabel135314" displayName="Tabel135314" ref="E1:Y14" totalsRowShown="0" headerRowDxfId="345" dataDxfId="343" headerRowBorderDxfId="344" tableBorderDxfId="342" totalsRowBorderDxfId="341">
  <autoFilter ref="E1:Y14" xr:uid="{02828E62-E6C4-4A70-BF6E-7F413F33D049}"/>
  <tableColumns count="21">
    <tableColumn id="1" xr3:uid="{A55CA976-DF82-4B70-B820-3FE84771A52E}" name="Inkomsten-periode" dataDxfId="340">
      <calculatedColumnFormula>IF(OR(Datum_Einde_IKV="",Tabel135314[[#This Row],[DatAanvTv]]&lt;Datum_Einde_IKV),IF(E1="december","",IF(Verloningsperiodiciteit="maandelijks",rekenwaarden!F3,_xlfn.CONCAT("Periode ",rekenwaarden!E3))),"")</calculatedColumnFormula>
    </tableColumn>
    <tableColumn id="2" xr3:uid="{4AF02186-A40D-4BD9-93F9-56EE5E320CBC}" name="DatAanvTv" dataDxfId="339">
      <calculatedColumnFormula>IF(AND($B$4="",AE2=""),"",VLOOKUP($B$4,IF(Verloningsperiodiciteit="Vierwekelijks",rekenwaarden!C3:C55,rekenwaarden!I3:I50),1,TRUE))</calculatedColumnFormula>
    </tableColumn>
    <tableColumn id="3" xr3:uid="{E21A14B5-C403-44DA-82BB-AA65624D5CCB}" name="DatEindTv" dataDxfId="338">
      <calculatedColumnFormula>IF(F2="", "", IF(Verloningsperiodiciteit="Vierwekelijks", _xlfn.XLOOKUP(F2,rekenwaarden!$C$3:$C$54,rekenwaarden!$D$3:$D$54,"niet gevonden",-1), _xlfn.XLOOKUP(F2,rekenwaarden!$I$3:$I$54,rekenwaarden!$J$3:$J$54,"niet gevonden",-1)))</calculatedColumnFormula>
    </tableColumn>
    <tableColumn id="18" xr3:uid="{68D3DDCA-A305-483B-9720-E348E185D86C}" name="Leeftijd" dataDxfId="337">
      <calculatedColumnFormula>IF(Tabel135314[[#This Row],[Inkomsten-periode]]="","",DATEDIF(Geboortedatum,Tabel135314[[#This Row],[DatEindTv]],"Y"))</calculatedColumnFormula>
    </tableColumn>
    <tableColumn id="5" xr3:uid="{EFFB9DDE-9015-4D88-8857-CD909AF97085}" name="DatAanvIKV" dataDxfId="336">
      <calculatedColumnFormula>IF(Tabel135314[[#This Row],[Inkomsten-periode]]="","",IF(Datum_Aanvang_IKV="","",Datum_Aanvang_IKV))</calculatedColumnFormula>
    </tableColumn>
    <tableColumn id="6" xr3:uid="{331E57E3-C3E0-4762-A5C8-C0AD91ACDBF7}" name="DatEindIKV" dataDxfId="335">
      <calculatedColumnFormula>IF(Tabel135314[[#This Row],[Inkomsten-periode]]="","",IF(Datum_Einde_IKV="","",IF(Datum_Einde_IKV&lt;=Tabel135314[[#This Row],[DatEindTv]],Datum_Einde_IKV,"")))</calculatedColumnFormula>
    </tableColumn>
    <tableColumn id="7" xr3:uid="{3556BCAE-C5E6-4F08-B8E2-E83F01760A7B}" name="CdRdnEindArbov" dataDxfId="334"/>
    <tableColumn id="8" xr3:uid="{E3750A46-EF40-49A5-A193-59A0D706674D}" name="SrtIV" dataDxfId="333"/>
    <tableColumn id="9" xr3:uid="{8D1AA5F2-32A5-4C2B-8D5C-7237E62481B8}" name="CdAard" dataDxfId="332"/>
    <tableColumn id="16" xr3:uid="{7904F51A-B97A-4E49-9E08-356385168F9E}" name="AantVerlU" dataDxfId="331"/>
    <tableColumn id="10" xr3:uid="{3A77B242-3773-4B7B-BD29-53F5BDE3A24D}" name="LnSV" dataDxfId="330" dataCellStyle="Valuta"/>
    <tableColumn id="11" xr3:uid="{1960731A-D1FD-461B-9C97-A3B20BAEB17C}" name="VakBsl" dataDxfId="329" dataCellStyle="Valuta"/>
    <tableColumn id="12" xr3:uid="{E584CD34-7047-4FAF-8710-2EBF4FF12B74}" name="OpgRchtVakBsl" dataDxfId="328" dataCellStyle="Valuta">
      <calculatedColumnFormula>0.08*Tabel135314[[#This Row],[LnSV]]</calculatedColumnFormula>
    </tableColumn>
    <tableColumn id="13" xr3:uid="{F2DF41AB-3750-4A7D-B364-31A9B25B01CE}" name="OpnAvwb" dataDxfId="327" dataCellStyle="Valuta"/>
    <tableColumn id="14" xr3:uid="{5238A5FD-3374-4611-95E5-DF51B6397509}" name="OpbAvwb" dataDxfId="326" dataCellStyle="Valuta"/>
    <tableColumn id="15" xr3:uid="{63E5CBE0-E661-4F22-B495-403E1A1827CA}" name="LnInGld" dataDxfId="325" dataCellStyle="Valuta"/>
    <tableColumn id="21" xr3:uid="{90A7BF18-25AB-4B71-BF49-7844770E3A08}" name="CdIncInkVerm" dataDxfId="324" dataCellStyle="Valuta"/>
    <tableColumn id="4" xr3:uid="{5A142727-894D-42BB-BB1D-F10B56F120EC}" name="&lt;RegLn&gt;" dataDxfId="323" dataCellStyle="Valuta">
      <calculatedColumnFormula>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Row],[OpnAvwb]],0))))</calculatedColumnFormula>
    </tableColumn>
    <tableColumn id="17" xr3:uid="{A8160E0C-3121-46CE-9E4B-0371195F2337}" name="&lt;RegUren&gt;" dataDxfId="322" dataCellStyle="Valuta">
      <calculatedColumnFormula>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Row],[AantVerlU]],0))))</calculatedColumnFormula>
    </tableColumn>
    <tableColumn id="19" xr3:uid="{17C26B21-FA12-4E5F-A756-793C5C381D8C}" name="Loon na einde IKV" dataDxfId="321" dataCellStyle="Valuta">
      <calculatedColumnFormula>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calculatedColumnFormula>
    </tableColumn>
    <tableColumn id="20" xr3:uid="{00FB5FB8-7508-4955-803A-F657F1043B1A}" name="Uren na einde IKV" dataDxfId="320" dataCellStyle="Valuta">
      <calculatedColumnFormula>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Row],[AantVerlU]],"")),"")</calculatedColumnFormula>
    </tableColumn>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6478709-3287-4671-8114-8A851753CBAE}" name="Tabel135361516" displayName="Tabel135361516" ref="E1:Y14" totalsRowShown="0" headerRowDxfId="319" dataDxfId="317" headerRowBorderDxfId="318" tableBorderDxfId="316" totalsRowBorderDxfId="315">
  <autoFilter ref="E1:Y14" xr:uid="{02828E62-E6C4-4A70-BF6E-7F413F33D049}"/>
  <tableColumns count="21">
    <tableColumn id="1" xr3:uid="{0EF44D9F-1E18-4BE8-BE2D-15547D283718}" name="Inkomsten-periode" dataDxfId="314">
      <calculatedColumnFormula>IF(OR(Datum_Einde_IKV="",Tabel135361516[[#This Row],[DatAanvTv]]&lt;Datum_Einde_IKV),IF(E1="december","",IF(Verloningsperiodiciteit="maandelijks",rekenwaarden!F3,_xlfn.CONCAT("Periode ",rekenwaarden!E3))),"")</calculatedColumnFormula>
    </tableColumn>
    <tableColumn id="2" xr3:uid="{2FB25A1B-5DB0-446E-8DF7-213D94EDC29D}" name="DatAanvTv" dataDxfId="313">
      <calculatedColumnFormula>IF(AND($B$4="",AE2=""),"",VLOOKUP($B$4,IF(Verloningsperiodiciteit="Vierwekelijks",rekenwaarden!C3:C55,rekenwaarden!I3:I50),1,TRUE))</calculatedColumnFormula>
    </tableColumn>
    <tableColumn id="3" xr3:uid="{E43CEDDD-7093-4E88-8CEE-1A0FE9DFD5AF}" name="DatEindTv" dataDxfId="312">
      <calculatedColumnFormula>IF(F2="", "", IF(Verloningsperiodiciteit="Vierwekelijks", _xlfn.XLOOKUP(F2,rekenwaarden!$C$3:$C$54,rekenwaarden!$D$3:$D$54,"niet gevonden",-1), _xlfn.XLOOKUP(F2,rekenwaarden!$I$3:$I$54,rekenwaarden!$J$3:$J$54,"niet gevonden",-1)))</calculatedColumnFormula>
    </tableColumn>
    <tableColumn id="18" xr3:uid="{B4DBB741-F44F-4347-8F00-AE3237FCA21F}" name="Leeftijd" dataDxfId="311">
      <calculatedColumnFormula>IF(Tabel135361516[[#This Row],[Inkomsten-periode]]="","",DATEDIF(Geboortedatum,Tabel135361516[[#This Row],[DatEindTv]],"Y"))</calculatedColumnFormula>
    </tableColumn>
    <tableColumn id="5" xr3:uid="{5074719E-E7F8-4D12-833F-6AC98B13F595}" name="DatAanvIKV" dataDxfId="310">
      <calculatedColumnFormula>IF(Tabel135361516[[#This Row],[Inkomsten-periode]]="","",IF(Datum_Aanvang_IKV="","",Datum_Aanvang_IKV))</calculatedColumnFormula>
    </tableColumn>
    <tableColumn id="6" xr3:uid="{2D42DB75-E362-4062-9B4B-DB433F4937C6}" name="DatEindIKV" dataDxfId="309">
      <calculatedColumnFormula>IF(Tabel135361516[[#This Row],[Inkomsten-periode]]="","",IF(Datum_Einde_IKV="","",IF(Datum_Einde_IKV&lt;=Tabel135361516[[#This Row],[DatEindTv]],Datum_Einde_IKV,"")))</calculatedColumnFormula>
    </tableColumn>
    <tableColumn id="7" xr3:uid="{701E4081-8A07-4FB1-AC73-E52E796B9562}" name="CdRdnEindArbov" dataDxfId="308"/>
    <tableColumn id="8" xr3:uid="{229CD26F-BD47-4B59-BB7E-33B4D560C938}" name="SrtIV" dataDxfId="307"/>
    <tableColumn id="9" xr3:uid="{F5C28954-C26D-42F7-A33D-D52CFCB90A76}" name="CdAard" dataDxfId="306"/>
    <tableColumn id="16" xr3:uid="{44FA1339-0E0A-40F6-AAEB-9758CA199C0C}" name="AantVerlU" dataDxfId="305"/>
    <tableColumn id="10" xr3:uid="{BF238AAF-D4CE-448A-81C4-58C8AC9D3685}" name="LnSV" dataDxfId="304" dataCellStyle="Valuta"/>
    <tableColumn id="11" xr3:uid="{FB143319-9902-4886-95DC-8D8FB7B39500}" name="VakBsl" dataDxfId="303" dataCellStyle="Valuta"/>
    <tableColumn id="12" xr3:uid="{20A4769C-C0FB-4000-A59B-C21393F17B4B}" name="OpgRchtVakBsl" dataDxfId="302" dataCellStyle="Valuta">
      <calculatedColumnFormula>0.08*Tabel135361516[[#This Row],[LnSV]]</calculatedColumnFormula>
    </tableColumn>
    <tableColumn id="13" xr3:uid="{11FD3FEC-8CAF-4E14-BCBA-0F99DD5664A4}" name="OpnAvwb" dataDxfId="301" dataCellStyle="Valuta"/>
    <tableColumn id="14" xr3:uid="{B8067241-43FA-474D-9199-5E30FD008923}" name="OpbAvwb" dataDxfId="300" dataCellStyle="Valuta"/>
    <tableColumn id="15" xr3:uid="{5B65285B-E535-4EB7-908A-B6F92F32F672}" name="LnInGld" dataDxfId="299" dataCellStyle="Valuta"/>
    <tableColumn id="21" xr3:uid="{E5B2098F-C425-4333-904E-ECB03FE8CD00}" name="CdIncInkVerm" dataDxfId="298" dataCellStyle="Valuta"/>
    <tableColumn id="4" xr3:uid="{129624C3-9E1D-4E1D-ADBA-273EEB6F8157}" name="&lt;RegLn&gt;" dataDxfId="297" dataCellStyle="Valuta">
      <calculatedColumnFormula>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Row],[OpnAvwb]],0))))</calculatedColumnFormula>
    </tableColumn>
    <tableColumn id="17" xr3:uid="{22107809-9602-4901-A597-DF1DAAD70E73}" name="&lt;RegUren&gt;" dataDxfId="296" dataCellStyle="Valuta">
      <calculatedColumnFormula>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Row],[AantVerlU]],0))))</calculatedColumnFormula>
    </tableColumn>
    <tableColumn id="19" xr3:uid="{47DC4B9C-19EA-4669-BAAC-3D7989A9E83C}" name="Loon na einde IKV" dataDxfId="295" dataCellStyle="Valuta">
      <calculatedColumnFormula>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calculatedColumnFormula>
    </tableColumn>
    <tableColumn id="20" xr3:uid="{746D5F92-321D-4770-8FE8-8DF88D42BF3B}" name="Uren na einde IKV" dataDxfId="294" dataCellStyle="Valuta">
      <calculatedColumnFormula>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calculatedColumnFormula>
    </tableColumn>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hyperlink" Target="https://www.fnv.nl/getmedia/3b41e1ff-3b9c-4847-baaf-14edb76b2954/504-besloten-busvervoer-cao-01-01-2025-tm-31-12-2026-v17062025.pdf?ext=.pdf" TargetMode="External"/><Relationship Id="rId2" Type="http://schemas.openxmlformats.org/officeDocument/2006/relationships/hyperlink" Target="https://www.fnv.nl/getmedia/2c9aa04a-a0c5-4638-9a76-7c677772372b/501-zorgvervoer-en-taxi-cao-01-01-2026-tm-31-12-2027-v29052026.pdf?ext=.pdf" TargetMode="External"/><Relationship Id="rId1" Type="http://schemas.openxmlformats.org/officeDocument/2006/relationships/hyperlink" Target="https://www.flexpedia.nl/kennis/branches/cao-beroepsgoederenvervoer-tln/" TargetMode="External"/><Relationship Id="rId6" Type="http://schemas.openxmlformats.org/officeDocument/2006/relationships/table" Target="../tables/table21.xml"/><Relationship Id="rId5" Type="http://schemas.openxmlformats.org/officeDocument/2006/relationships/printerSettings" Target="../printerSettings/printerSettings2.bin"/><Relationship Id="rId4" Type="http://schemas.openxmlformats.org/officeDocument/2006/relationships/hyperlink" Target="https://orsima.nl/wp-content/uploads/2025/07/Orsima-Cao-1-maart-2025-30-april-2026.pdf"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53216-97CC-49C5-8818-7739DCFD3BF4}">
  <dimension ref="A1:AJ31"/>
  <sheetViews>
    <sheetView workbookViewId="0">
      <selection activeCell="G2" sqref="G2"/>
    </sheetView>
  </sheetViews>
  <sheetFormatPr defaultRowHeight="12.5" x14ac:dyDescent="0.25"/>
  <cols>
    <col min="1" max="1" width="34" customWidth="1"/>
    <col min="2" max="2" width="24.1796875" customWidth="1"/>
    <col min="3" max="3" width="2.81640625" customWidth="1"/>
    <col min="4" max="4" width="12.1796875" customWidth="1"/>
    <col min="5" max="5" width="17.1796875" style="1" bestFit="1" customWidth="1"/>
    <col min="6" max="7" width="15.81640625" customWidth="1"/>
    <col min="8" max="8" width="12.81640625" customWidth="1"/>
    <col min="9" max="10" width="15.81640625" customWidth="1"/>
    <col min="11" max="14" width="10.81640625" customWidth="1"/>
    <col min="15" max="33" width="15.81640625" customWidth="1"/>
    <col min="34" max="34" width="19.453125" bestFit="1" customWidth="1"/>
    <col min="35" max="35" width="18.81640625" bestFit="1" customWidth="1"/>
    <col min="36" max="36" width="12.81640625" bestFit="1" customWidth="1"/>
  </cols>
  <sheetData>
    <row r="1" spans="1:36" ht="14.5" x14ac:dyDescent="0.35">
      <c r="A1" s="76" t="s">
        <v>0</v>
      </c>
      <c r="B1" s="82">
        <v>2027</v>
      </c>
      <c r="C1" s="1"/>
      <c r="D1" s="100" t="s">
        <v>1</v>
      </c>
      <c r="E1" s="101" t="s">
        <v>2</v>
      </c>
      <c r="F1" s="101" t="s">
        <v>3</v>
      </c>
      <c r="G1" s="101" t="s">
        <v>4</v>
      </c>
      <c r="H1" s="101" t="s">
        <v>5</v>
      </c>
      <c r="I1" s="101" t="s">
        <v>6</v>
      </c>
      <c r="J1" s="101" t="s">
        <v>7</v>
      </c>
      <c r="K1" s="101" t="s">
        <v>8</v>
      </c>
      <c r="L1" s="101" t="s">
        <v>9</v>
      </c>
      <c r="M1" s="101" t="s">
        <v>10</v>
      </c>
      <c r="N1" s="101" t="s">
        <v>11</v>
      </c>
      <c r="O1" s="102" t="s">
        <v>12</v>
      </c>
      <c r="P1" s="102" t="s">
        <v>13</v>
      </c>
      <c r="Q1" s="102" t="s">
        <v>14</v>
      </c>
      <c r="R1" s="102" t="s">
        <v>15</v>
      </c>
      <c r="S1" s="102" t="s">
        <v>16</v>
      </c>
      <c r="T1" s="102" t="s">
        <v>17</v>
      </c>
      <c r="U1" s="103" t="s">
        <v>18</v>
      </c>
    </row>
    <row r="2" spans="1:36" ht="14.5" x14ac:dyDescent="0.35">
      <c r="A2" s="76" t="s">
        <v>19</v>
      </c>
      <c r="B2" s="82" t="s">
        <v>20</v>
      </c>
      <c r="C2" s="1"/>
      <c r="D2" s="104">
        <f>IF(AND($B$2="Maandelijks", COUNTIF($D$1:D1, 12)&gt;1), "",IF(OR(AND($B$2="Maandelijks", D1=12),AND($B$2="Vierwekelijks", D1=13), A13 = "Periode"), 1, A13+1))</f>
        <v>1</v>
      </c>
      <c r="E2" s="77" t="str">
        <f>IF(E1="december","",IF(Verloningsperiodiciteit="maandelijks",rekenwaarden!F3,_xlfn.CONCAT("Periode ",rekenwaarden!E3)))</f>
        <v>Periode 1</v>
      </c>
      <c r="F2" s="78">
        <f>IF(AND($B$4="",AD2=""),"",VLOOKUP($B$4,IF(Verloningsperiodiciteit="Vierwekelijks",rekenwaarden!C3:C55,rekenwaarden!I3:I50),1,TRUE))</f>
        <v>46388</v>
      </c>
      <c r="G2" s="78">
        <f>IF(F2="", "", IF(Verloningsperiodiciteit="Vierwekelijks", _xlfn.XLOOKUP(F2,rekenwaarden!$C$3:$C$54,rekenwaarden!$D$3:$D$54,"niet gevonden",-1), _xlfn.XLOOKUP(F2,rekenwaarden!$I$3:$I$54,rekenwaarden!$J$3:$J$54,"niet gevonden",-1)))</f>
        <v>46418</v>
      </c>
      <c r="H2" s="79">
        <f>IF(Tabel1[[#This Row],[Inkomstenperiode]]="","",DATEDIF(Geboortedatum,Tabel1[[#This Row],[DatEindTv]],"Y"))</f>
        <v>46</v>
      </c>
      <c r="I2" s="78">
        <f>IF(Tabel1[[#This Row],[Inkomstenperiode]]="","",IF(Datum_Aanvang_IKV="","",Datum_Aanvang_IKV))</f>
        <v>46402</v>
      </c>
      <c r="J2" s="78" t="str">
        <f>IF(Tabel1[[#This Row],[Inkomstenperiode]]="","",IF(Datum_Einde_IKV="","",Datum_Einde_IKV))</f>
        <v/>
      </c>
      <c r="K2" s="80"/>
      <c r="L2" s="80">
        <v>13</v>
      </c>
      <c r="M2" s="80">
        <v>1</v>
      </c>
      <c r="N2" s="80">
        <v>173.33333333333334</v>
      </c>
      <c r="O2" s="81">
        <v>7000</v>
      </c>
      <c r="P2" s="81">
        <v>0</v>
      </c>
      <c r="Q2" s="81">
        <v>0</v>
      </c>
      <c r="R2" s="81">
        <v>0</v>
      </c>
      <c r="S2" s="81">
        <v>0</v>
      </c>
      <c r="T2" s="81">
        <v>7000</v>
      </c>
      <c r="U2" s="105">
        <f>IF(Tabel1[[#This Row],[Inkomstenperiode]]="","",IF(OR(Tabel1[[#This Row],[Leeftijd]]&lt;18,Tabel1[[#This Row],[Leeftijd]]&gt;=68),0,IF(Tabel1[[#This Row],[CdRdnEindArbov]]=33,0,IF(AND(OR(Tabel1[[#This Row],[SrtIV]]=13,Tabel1[[#This Row],[SrtIV]]=15,Tabel1[[#This Row],[SrtIV]]=31),OR(Tabel1[[#This Row],[CdAard]]=1,Tabel1[[#This Row],[CdAard]]=11,Tabel1[[#This Row],[CdAard]]=82,Tabel1[[#This Row],[CdAard]]=83)),Tabel1[[#This Row],[LnInGld]]+Tabel1[[#This Row],[OpgRchtVakBsl]]-Tabel1[[#This Row],[VakBsl]]+Tabel1[[#This Row],[OpbAvwb]]-Tabel1[[#This Row],[OpnAvwb]],0))))</f>
        <v>7000</v>
      </c>
    </row>
    <row r="3" spans="1:36" ht="14.5" x14ac:dyDescent="0.35">
      <c r="A3" s="76" t="s">
        <v>21</v>
      </c>
      <c r="B3" s="57">
        <v>29295</v>
      </c>
      <c r="C3" s="60"/>
      <c r="D3" s="104">
        <f>IF(OR($B$5&gt;G2,$B$5=""),IF(AND($B$2="Maandelijks", COUNTIF($D$1:D2, 12)=1), "",IF(OR(AND($B$2="Maandelijks", D2=12),AND($B$2="Vierwekelijks", D2=13), D2 = "Periode"), 1, D2+1)),"")</f>
        <v>2</v>
      </c>
      <c r="E3" s="77" t="str">
        <f>IF(E2="december","",IF(Verloningsperiodiciteit="maandelijks",rekenwaarden!F4,_xlfn.CONCAT("Periode ",rekenwaarden!E4)))</f>
        <v>Periode 2</v>
      </c>
      <c r="F3" s="78">
        <f t="shared" ref="F3:F14" si="0">IF(OR(G2="",D3="",IF(Datum_Einde_IKV&lt;&gt;"",G2&gt;=Datum_Einde_IKV,"")),"",G2+1)</f>
        <v>46419</v>
      </c>
      <c r="G3" s="78">
        <f>IF(F3="", "", IF(Verloningsperiodiciteit="Vierwekelijks", _xlfn.XLOOKUP(F3,rekenwaarden!$C$3:$C$54,rekenwaarden!$D$3:$D$54,"niet gevonden",-1), _xlfn.XLOOKUP(F3,rekenwaarden!$I$3:$I$54,rekenwaarden!$J$3:$J$54,"niet gevonden",-1)))</f>
        <v>46446</v>
      </c>
      <c r="H3" s="79">
        <f>IF(Tabel1[[#This Row],[Inkomstenperiode]]="","",DATEDIF(Geboortedatum,Tabel1[[#This Row],[DatEindTv]],"Y"))</f>
        <v>46</v>
      </c>
      <c r="I3" s="78">
        <f>IF(Tabel1[[#This Row],[Inkomstenperiode]]="","",IF(Datum_Aanvang_IKV="","",Datum_Aanvang_IKV))</f>
        <v>46402</v>
      </c>
      <c r="J3" s="78" t="str">
        <f>IF(Tabel1[[#This Row],[Inkomstenperiode]]="","",IF(Datum_Einde_IKV="","",Datum_Einde_IKV))</f>
        <v/>
      </c>
      <c r="K3" s="80"/>
      <c r="L3" s="80">
        <v>13</v>
      </c>
      <c r="M3" s="80">
        <v>1</v>
      </c>
      <c r="N3" s="80">
        <v>173.33333333333334</v>
      </c>
      <c r="O3" s="81">
        <v>5000</v>
      </c>
      <c r="P3" s="81">
        <v>0</v>
      </c>
      <c r="Q3" s="81">
        <v>0</v>
      </c>
      <c r="R3" s="81">
        <v>0</v>
      </c>
      <c r="S3" s="81">
        <v>0</v>
      </c>
      <c r="T3" s="81">
        <v>5000</v>
      </c>
      <c r="U3" s="105">
        <f>IF(Tabel1[[#This Row],[Inkomstenperiode]]="","",IF(OR(Tabel1[[#This Row],[Leeftijd]]&lt;18,Tabel1[[#This Row],[Leeftijd]]&gt;=68),0,IF(Tabel1[[#This Row],[CdRdnEindArbov]]=33,0,IF(AND(OR(Tabel1[[#This Row],[SrtIV]]=13,Tabel1[[#This Row],[SrtIV]]=15,Tabel1[[#This Row],[SrtIV]]=31),OR(Tabel1[[#This Row],[CdAard]]=1,Tabel1[[#This Row],[CdAard]]=11,Tabel1[[#This Row],[CdAard]]=82,Tabel1[[#This Row],[CdAard]]=83)),Tabel1[[#This Row],[LnInGld]]+Tabel1[[#This Row],[OpgRchtVakBsl]]-Tabel1[[#This Row],[VakBsl]]+Tabel1[[#This Row],[OpbAvwb]]-Tabel1[[#This Row],[OpnAvwb]],0))))</f>
        <v>5000</v>
      </c>
    </row>
    <row r="4" spans="1:36" ht="14.5" x14ac:dyDescent="0.35">
      <c r="A4" s="76" t="s">
        <v>22</v>
      </c>
      <c r="B4" s="83">
        <v>46402</v>
      </c>
      <c r="C4" s="60"/>
      <c r="D4" s="104">
        <f>IF(OR($B$5&gt;G3,$B$5=""),IF(AND($B$2="Maandelijks", COUNTIF($D$1:D3, 12)=1), "",IF(OR(AND($B$2="Maandelijks", D3=12),AND($B$2="Vierwekelijks", D3=13), D3 = "Periode"), 1, D3+1)),"")</f>
        <v>3</v>
      </c>
      <c r="E4" s="77" t="str">
        <f>IF(E3="december","",IF(Verloningsperiodiciteit="maandelijks",rekenwaarden!F5,_xlfn.CONCAT("Periode ",rekenwaarden!E5)))</f>
        <v>Periode 3</v>
      </c>
      <c r="F4" s="78">
        <f t="shared" si="0"/>
        <v>46447</v>
      </c>
      <c r="G4" s="78">
        <f>IF(F4="", "", IF(Verloningsperiodiciteit="Vierwekelijks", _xlfn.XLOOKUP(F4,rekenwaarden!$C$3:$C$54,rekenwaarden!$D$3:$D$54,"niet gevonden",-1), _xlfn.XLOOKUP(F4,rekenwaarden!$I$3:$I$54,rekenwaarden!$J$3:$J$54,"niet gevonden",-1)))</f>
        <v>46474</v>
      </c>
      <c r="H4" s="79">
        <f>IF(Tabel1[[#This Row],[Inkomstenperiode]]="","",DATEDIF(Geboortedatum,Tabel1[[#This Row],[DatEindTv]],"Y"))</f>
        <v>47</v>
      </c>
      <c r="I4" s="78">
        <f>IF(Tabel1[[#This Row],[Inkomstenperiode]]="","",IF(Datum_Aanvang_IKV="","",Datum_Aanvang_IKV))</f>
        <v>46402</v>
      </c>
      <c r="J4" s="78" t="str">
        <f>IF(Tabel1[[#This Row],[Inkomstenperiode]]="","",IF(Datum_Einde_IKV="","",Datum_Einde_IKV))</f>
        <v/>
      </c>
      <c r="K4" s="80"/>
      <c r="L4" s="80">
        <v>13</v>
      </c>
      <c r="M4" s="80">
        <v>1</v>
      </c>
      <c r="N4" s="80">
        <v>173.33333333333334</v>
      </c>
      <c r="O4" s="81">
        <v>9000</v>
      </c>
      <c r="P4" s="81">
        <v>0</v>
      </c>
      <c r="Q4" s="81">
        <v>0</v>
      </c>
      <c r="R4" s="81">
        <v>0</v>
      </c>
      <c r="S4" s="81">
        <v>0</v>
      </c>
      <c r="T4" s="81">
        <v>9000</v>
      </c>
      <c r="U4" s="105">
        <f>IF(Tabel1[[#This Row],[Inkomstenperiode]]="","",IF(OR(Tabel1[[#This Row],[Leeftijd]]&lt;18,Tabel1[[#This Row],[Leeftijd]]&gt;=68),0,IF(Tabel1[[#This Row],[CdRdnEindArbov]]=33,0,IF(AND(OR(Tabel1[[#This Row],[SrtIV]]=13,Tabel1[[#This Row],[SrtIV]]=15,Tabel1[[#This Row],[SrtIV]]=31),OR(Tabel1[[#This Row],[CdAard]]=1,Tabel1[[#This Row],[CdAard]]=11,Tabel1[[#This Row],[CdAard]]=82,Tabel1[[#This Row],[CdAard]]=83)),Tabel1[[#This Row],[LnInGld]]+Tabel1[[#This Row],[OpgRchtVakBsl]]-Tabel1[[#This Row],[VakBsl]]+Tabel1[[#This Row],[OpbAvwb]]-Tabel1[[#This Row],[OpnAvwb]],0))))</f>
        <v>9000</v>
      </c>
    </row>
    <row r="5" spans="1:36" ht="14.5" x14ac:dyDescent="0.35">
      <c r="A5" s="76" t="s">
        <v>23</v>
      </c>
      <c r="B5" s="57"/>
      <c r="C5" s="60"/>
      <c r="D5" s="104">
        <f>IF(OR($B$5&gt;G4,$B$5=""),IF(AND($B$2="Maandelijks", COUNTIF($D$1:D4, 12)=1), "",IF(OR(AND($B$2="Maandelijks", D4=12),AND($B$2="Vierwekelijks", D4=13), D4 = "Periode"), 1, D4+1)),"")</f>
        <v>4</v>
      </c>
      <c r="E5" s="77" t="str">
        <f>IF(E4="december","",IF(Verloningsperiodiciteit="maandelijks",rekenwaarden!F6,_xlfn.CONCAT("Periode ",rekenwaarden!E6)))</f>
        <v>Periode 4</v>
      </c>
      <c r="F5" s="78">
        <f t="shared" si="0"/>
        <v>46475</v>
      </c>
      <c r="G5" s="78">
        <f>IF(F5="", "", IF(Verloningsperiodiciteit="Vierwekelijks", _xlfn.XLOOKUP(F5,rekenwaarden!$C$3:$C$54,rekenwaarden!$D$3:$D$54,"niet gevonden",-1), _xlfn.XLOOKUP(F5,rekenwaarden!$I$3:$I$54,rekenwaarden!$J$3:$J$54,"niet gevonden",-1)))</f>
        <v>46502</v>
      </c>
      <c r="H5" s="79">
        <f>IF(Tabel1[[#This Row],[Inkomstenperiode]]="","",DATEDIF(Geboortedatum,Tabel1[[#This Row],[DatEindTv]],"Y"))</f>
        <v>47</v>
      </c>
      <c r="I5" s="78">
        <f>IF(Tabel1[[#This Row],[Inkomstenperiode]]="","",IF(Datum_Aanvang_IKV="","",Datum_Aanvang_IKV))</f>
        <v>46402</v>
      </c>
      <c r="J5" s="78" t="str">
        <f>IF(Tabel1[[#This Row],[Inkomstenperiode]]="","",IF(Datum_Einde_IKV="","",Datum_Einde_IKV))</f>
        <v/>
      </c>
      <c r="K5" s="80"/>
      <c r="L5" s="80">
        <v>13</v>
      </c>
      <c r="M5" s="80">
        <v>1</v>
      </c>
      <c r="N5" s="80">
        <v>173.33333333333334</v>
      </c>
      <c r="O5" s="81">
        <v>9000</v>
      </c>
      <c r="P5" s="81">
        <v>0</v>
      </c>
      <c r="Q5" s="81">
        <v>0</v>
      </c>
      <c r="R5" s="81">
        <v>0</v>
      </c>
      <c r="S5" s="81">
        <v>0</v>
      </c>
      <c r="T5" s="81">
        <v>9000</v>
      </c>
      <c r="U5" s="105">
        <f>IF(Tabel1[[#This Row],[Inkomstenperiode]]="","",IF(OR(Tabel1[[#This Row],[Leeftijd]]&lt;18,Tabel1[[#This Row],[Leeftijd]]&gt;=68),0,IF(Tabel1[[#This Row],[CdRdnEindArbov]]=33,0,IF(AND(OR(Tabel1[[#This Row],[SrtIV]]=13,Tabel1[[#This Row],[SrtIV]]=15,Tabel1[[#This Row],[SrtIV]]=31),OR(Tabel1[[#This Row],[CdAard]]=1,Tabel1[[#This Row],[CdAard]]=11,Tabel1[[#This Row],[CdAard]]=82,Tabel1[[#This Row],[CdAard]]=83)),Tabel1[[#This Row],[LnInGld]]+Tabel1[[#This Row],[OpgRchtVakBsl]]-Tabel1[[#This Row],[VakBsl]]+Tabel1[[#This Row],[OpbAvwb]]-Tabel1[[#This Row],[OpnAvwb]],0))))</f>
        <v>9000</v>
      </c>
    </row>
    <row r="6" spans="1:36" ht="14.5" x14ac:dyDescent="0.35">
      <c r="A6" s="76" t="s">
        <v>24</v>
      </c>
      <c r="B6" s="84" t="s">
        <v>25</v>
      </c>
      <c r="C6" s="85"/>
      <c r="D6" s="104">
        <f>IF(OR($B$5&gt;G5,$B$5=""),IF(AND($B$2="Maandelijks", COUNTIF($D$1:D5, 12)=1), "",IF(OR(AND($B$2="Maandelijks", D5=12),AND($B$2="Vierwekelijks", D5=13), D5 = "Periode"), 1, D5+1)),"")</f>
        <v>5</v>
      </c>
      <c r="E6" s="77" t="str">
        <f>IF(E5="december","",IF(Verloningsperiodiciteit="maandelijks",rekenwaarden!F7,_xlfn.CONCAT("Periode ",rekenwaarden!E7)))</f>
        <v>Periode 5</v>
      </c>
      <c r="F6" s="78">
        <f t="shared" si="0"/>
        <v>46503</v>
      </c>
      <c r="G6" s="78">
        <f>IF(F6="", "", IF(Verloningsperiodiciteit="Vierwekelijks", _xlfn.XLOOKUP(F6,rekenwaarden!$C$3:$C$54,rekenwaarden!$D$3:$D$54,"niet gevonden",-1), _xlfn.XLOOKUP(F6,rekenwaarden!$I$3:$I$54,rekenwaarden!$J$3:$J$54,"niet gevonden",-1)))</f>
        <v>46530</v>
      </c>
      <c r="H6" s="79">
        <f>IF(Tabel1[[#This Row],[Inkomstenperiode]]="","",DATEDIF(Geboortedatum,Tabel1[[#This Row],[DatEindTv]],"Y"))</f>
        <v>47</v>
      </c>
      <c r="I6" s="78">
        <f>IF(Tabel1[[#This Row],[Inkomstenperiode]]="","",IF(Datum_Aanvang_IKV="","",Datum_Aanvang_IKV))</f>
        <v>46402</v>
      </c>
      <c r="J6" s="78" t="str">
        <f>IF(Tabel1[[#This Row],[Inkomstenperiode]]="","",IF(Datum_Einde_IKV="","",Datum_Einde_IKV))</f>
        <v/>
      </c>
      <c r="K6" s="80"/>
      <c r="L6" s="80">
        <v>13</v>
      </c>
      <c r="M6" s="80">
        <v>1</v>
      </c>
      <c r="N6" s="80">
        <v>173.33333333333334</v>
      </c>
      <c r="O6" s="81">
        <v>5000</v>
      </c>
      <c r="P6" s="81">
        <v>0</v>
      </c>
      <c r="Q6" s="81">
        <v>0</v>
      </c>
      <c r="R6" s="81">
        <v>0</v>
      </c>
      <c r="S6" s="81">
        <v>0</v>
      </c>
      <c r="T6" s="81">
        <v>5000</v>
      </c>
      <c r="U6" s="105">
        <f>IF(Tabel1[[#This Row],[Inkomstenperiode]]="","",IF(OR(Tabel1[[#This Row],[Leeftijd]]&lt;18,Tabel1[[#This Row],[Leeftijd]]&gt;=68),0,IF(Tabel1[[#This Row],[CdRdnEindArbov]]=33,0,IF(AND(OR(Tabel1[[#This Row],[SrtIV]]=13,Tabel1[[#This Row],[SrtIV]]=15,Tabel1[[#This Row],[SrtIV]]=31),OR(Tabel1[[#This Row],[CdAard]]=1,Tabel1[[#This Row],[CdAard]]=11,Tabel1[[#This Row],[CdAard]]=82,Tabel1[[#This Row],[CdAard]]=83)),Tabel1[[#This Row],[LnInGld]]+Tabel1[[#This Row],[OpgRchtVakBsl]]-Tabel1[[#This Row],[VakBsl]]+Tabel1[[#This Row],[OpbAvwb]]-Tabel1[[#This Row],[OpnAvwb]],0))))</f>
        <v>5000</v>
      </c>
    </row>
    <row r="7" spans="1:36" ht="14.5" x14ac:dyDescent="0.35">
      <c r="A7" s="76" t="s">
        <v>26</v>
      </c>
      <c r="B7" s="58">
        <f>VLOOKUP(B6,rekenwaarden!M8:T12,8)</f>
        <v>40</v>
      </c>
      <c r="C7" s="59"/>
      <c r="D7" s="104">
        <f>IF(OR($B$5&gt;G6,$B$5=""),IF(AND($B$2="Maandelijks", COUNTIF($D$1:D6, 12)=1), "",IF(OR(AND($B$2="Maandelijks", D6=12),AND($B$2="Vierwekelijks", D6=13), D6 = "Periode"), 1, D6+1)),"")</f>
        <v>6</v>
      </c>
      <c r="E7" s="77" t="str">
        <f>IF(E6="december","",IF(Verloningsperiodiciteit="maandelijks",rekenwaarden!F8,_xlfn.CONCAT("Periode ",rekenwaarden!E8)))</f>
        <v>Periode 6</v>
      </c>
      <c r="F7" s="78">
        <f t="shared" si="0"/>
        <v>46531</v>
      </c>
      <c r="G7" s="78">
        <f>IF(F7="", "", IF(Verloningsperiodiciteit="Vierwekelijks", _xlfn.XLOOKUP(F7,rekenwaarden!$C$3:$C$54,rekenwaarden!$D$3:$D$54,"niet gevonden",-1), _xlfn.XLOOKUP(F7,rekenwaarden!$I$3:$I$54,rekenwaarden!$J$3:$J$54,"niet gevonden",-1)))</f>
        <v>46558</v>
      </c>
      <c r="H7" s="79">
        <f>IF(Tabel1[[#This Row],[Inkomstenperiode]]="","",DATEDIF(Geboortedatum,Tabel1[[#This Row],[DatEindTv]],"Y"))</f>
        <v>47</v>
      </c>
      <c r="I7" s="78">
        <f>IF(Tabel1[[#This Row],[Inkomstenperiode]]="","",IF(Datum_Aanvang_IKV="","",Datum_Aanvang_IKV))</f>
        <v>46402</v>
      </c>
      <c r="J7" s="78" t="str">
        <f>IF(Tabel1[[#This Row],[Inkomstenperiode]]="","",IF(Datum_Einde_IKV="","",Datum_Einde_IKV))</f>
        <v/>
      </c>
      <c r="K7" s="80"/>
      <c r="L7" s="80">
        <v>13</v>
      </c>
      <c r="M7" s="80">
        <v>1</v>
      </c>
      <c r="N7" s="80">
        <v>173.33333333333334</v>
      </c>
      <c r="O7" s="81">
        <v>4000</v>
      </c>
      <c r="P7" s="81">
        <v>0</v>
      </c>
      <c r="Q7" s="81">
        <v>0</v>
      </c>
      <c r="R7" s="81">
        <v>0</v>
      </c>
      <c r="S7" s="81">
        <v>0</v>
      </c>
      <c r="T7" s="81">
        <v>4000</v>
      </c>
      <c r="U7" s="105">
        <f>IF(Tabel1[[#This Row],[Inkomstenperiode]]="","",IF(OR(Tabel1[[#This Row],[Leeftijd]]&lt;18,Tabel1[[#This Row],[Leeftijd]]&gt;=68),0,IF(Tabel1[[#This Row],[CdRdnEindArbov]]=33,0,IF(AND(OR(Tabel1[[#This Row],[SrtIV]]=13,Tabel1[[#This Row],[SrtIV]]=15,Tabel1[[#This Row],[SrtIV]]=31),OR(Tabel1[[#This Row],[CdAard]]=1,Tabel1[[#This Row],[CdAard]]=11,Tabel1[[#This Row],[CdAard]]=82,Tabel1[[#This Row],[CdAard]]=83)),Tabel1[[#This Row],[LnInGld]]+Tabel1[[#This Row],[OpgRchtVakBsl]]-Tabel1[[#This Row],[VakBsl]]+Tabel1[[#This Row],[OpbAvwb]]-Tabel1[[#This Row],[OpnAvwb]],0))))</f>
        <v>4000</v>
      </c>
    </row>
    <row r="8" spans="1:36" ht="14.5" x14ac:dyDescent="0.35">
      <c r="A8" s="76" t="s">
        <v>27</v>
      </c>
      <c r="B8" s="57" t="b">
        <v>1</v>
      </c>
      <c r="C8" s="60"/>
      <c r="D8" s="104">
        <f>IF(OR($B$5&gt;G7,$B$5=""),IF(AND($B$2="Maandelijks", COUNTIF($D$1:D7, 12)=1), "",IF(OR(AND($B$2="Maandelijks", D7=12),AND($B$2="Vierwekelijks", D7=13), D7 = "Periode"), 1, D7+1)),"")</f>
        <v>7</v>
      </c>
      <c r="E8" s="77" t="str">
        <f>IF(E7="december","",IF(Verloningsperiodiciteit="maandelijks",rekenwaarden!F9,_xlfn.CONCAT("Periode ",rekenwaarden!E9)))</f>
        <v>Periode 7</v>
      </c>
      <c r="F8" s="78">
        <f t="shared" si="0"/>
        <v>46559</v>
      </c>
      <c r="G8" s="78">
        <f>IF(F8="", "", IF(Verloningsperiodiciteit="Vierwekelijks", _xlfn.XLOOKUP(F8,rekenwaarden!$C$3:$C$54,rekenwaarden!$D$3:$D$54,"niet gevonden",-1), _xlfn.XLOOKUP(F8,rekenwaarden!$I$3:$I$54,rekenwaarden!$J$3:$J$54,"niet gevonden",-1)))</f>
        <v>46586</v>
      </c>
      <c r="H8" s="79">
        <f>IF(Tabel1[[#This Row],[Inkomstenperiode]]="","",DATEDIF(Geboortedatum,Tabel1[[#This Row],[DatEindTv]],"Y"))</f>
        <v>47</v>
      </c>
      <c r="I8" s="78">
        <f>IF(Tabel1[[#This Row],[Inkomstenperiode]]="","",IF(Datum_Aanvang_IKV="","",Datum_Aanvang_IKV))</f>
        <v>46402</v>
      </c>
      <c r="J8" s="78" t="str">
        <f>IF(Tabel1[[#This Row],[Inkomstenperiode]]="","",IF(Datum_Einde_IKV="","",Datum_Einde_IKV))</f>
        <v/>
      </c>
      <c r="K8" s="80"/>
      <c r="L8" s="80">
        <v>13</v>
      </c>
      <c r="M8" s="80">
        <v>1</v>
      </c>
      <c r="N8" s="80">
        <v>173.33333333333334</v>
      </c>
      <c r="O8" s="81">
        <v>8000</v>
      </c>
      <c r="P8" s="81">
        <v>0</v>
      </c>
      <c r="Q8" s="81">
        <v>0</v>
      </c>
      <c r="R8" s="81">
        <v>0</v>
      </c>
      <c r="S8" s="81">
        <v>0</v>
      </c>
      <c r="T8" s="81">
        <v>8000</v>
      </c>
      <c r="U8" s="105">
        <f>IF(Tabel1[[#This Row],[Inkomstenperiode]]="","",IF(OR(Tabel1[[#This Row],[Leeftijd]]&lt;18,Tabel1[[#This Row],[Leeftijd]]&gt;=68),0,IF(Tabel1[[#This Row],[CdRdnEindArbov]]=33,0,IF(AND(OR(Tabel1[[#This Row],[SrtIV]]=13,Tabel1[[#This Row],[SrtIV]]=15,Tabel1[[#This Row],[SrtIV]]=31),OR(Tabel1[[#This Row],[CdAard]]=1,Tabel1[[#This Row],[CdAard]]=11,Tabel1[[#This Row],[CdAard]]=82,Tabel1[[#This Row],[CdAard]]=83)),Tabel1[[#This Row],[LnInGld]]+Tabel1[[#This Row],[OpgRchtVakBsl]]-Tabel1[[#This Row],[VakBsl]]+Tabel1[[#This Row],[OpbAvwb]]-Tabel1[[#This Row],[OpnAvwb]],0))))</f>
        <v>8000</v>
      </c>
    </row>
    <row r="9" spans="1:36" x14ac:dyDescent="0.25">
      <c r="D9" s="104">
        <f>IF(OR($B$5&gt;G8,$B$5=""),IF(AND($B$2="Maandelijks", COUNTIF($D$1:D8, 12)=1), "",IF(OR(AND($B$2="Maandelijks", D8=12),AND($B$2="Vierwekelijks", D8=13), D8 = "Periode"), 1, D8+1)),"")</f>
        <v>8</v>
      </c>
      <c r="E9" s="77" t="str">
        <f>IF(E8="december","",IF(Verloningsperiodiciteit="maandelijks",rekenwaarden!F10,_xlfn.CONCAT("Periode ",rekenwaarden!E10)))</f>
        <v>Periode 8</v>
      </c>
      <c r="F9" s="78">
        <f t="shared" si="0"/>
        <v>46587</v>
      </c>
      <c r="G9" s="78">
        <f>IF(F9="", "", IF(Verloningsperiodiciteit="Vierwekelijks", _xlfn.XLOOKUP(F9,rekenwaarden!$C$3:$C$54,rekenwaarden!$D$3:$D$54,"niet gevonden",-1), _xlfn.XLOOKUP(F9,rekenwaarden!$I$3:$I$54,rekenwaarden!$J$3:$J$54,"niet gevonden",-1)))</f>
        <v>46614</v>
      </c>
      <c r="H9" s="79">
        <f>IF(Tabel1[[#This Row],[Inkomstenperiode]]="","",DATEDIF(Geboortedatum,Tabel1[[#This Row],[DatEindTv]],"Y"))</f>
        <v>47</v>
      </c>
      <c r="I9" s="78">
        <f>IF(Tabel1[[#This Row],[Inkomstenperiode]]="","",IF(Datum_Aanvang_IKV="","",Datum_Aanvang_IKV))</f>
        <v>46402</v>
      </c>
      <c r="J9" s="78" t="str">
        <f>IF(Tabel1[[#This Row],[Inkomstenperiode]]="","",IF(Datum_Einde_IKV="","",Datum_Einde_IKV))</f>
        <v/>
      </c>
      <c r="K9" s="80"/>
      <c r="L9" s="80">
        <v>13</v>
      </c>
      <c r="M9" s="80">
        <v>1</v>
      </c>
      <c r="N9" s="80">
        <v>173.33333333333334</v>
      </c>
      <c r="O9" s="81">
        <v>7000</v>
      </c>
      <c r="P9" s="81">
        <v>0</v>
      </c>
      <c r="Q9" s="81">
        <v>0</v>
      </c>
      <c r="R9" s="81">
        <v>0</v>
      </c>
      <c r="S9" s="81">
        <v>0</v>
      </c>
      <c r="T9" s="81">
        <v>7000</v>
      </c>
      <c r="U9" s="105">
        <f>IF(Tabel1[[#This Row],[Inkomstenperiode]]="","",IF(OR(Tabel1[[#This Row],[Leeftijd]]&lt;18,Tabel1[[#This Row],[Leeftijd]]&gt;=68),0,IF(Tabel1[[#This Row],[CdRdnEindArbov]]=33,0,IF(AND(OR(Tabel1[[#This Row],[SrtIV]]=13,Tabel1[[#This Row],[SrtIV]]=15,Tabel1[[#This Row],[SrtIV]]=31),OR(Tabel1[[#This Row],[CdAard]]=1,Tabel1[[#This Row],[CdAard]]=11,Tabel1[[#This Row],[CdAard]]=82,Tabel1[[#This Row],[CdAard]]=83)),Tabel1[[#This Row],[LnInGld]]+Tabel1[[#This Row],[OpgRchtVakBsl]]-Tabel1[[#This Row],[VakBsl]]+Tabel1[[#This Row],[OpbAvwb]]-Tabel1[[#This Row],[OpnAvwb]],0))))</f>
        <v>7000</v>
      </c>
    </row>
    <row r="10" spans="1:36" x14ac:dyDescent="0.25">
      <c r="D10" s="104">
        <f>IF(OR($B$5&gt;G9,$B$5=""),IF(AND($B$2="Maandelijks", COUNTIF($D$1:D9, 12)=1), "",IF(OR(AND($B$2="Maandelijks", D9=12),AND($B$2="Vierwekelijks", D9=13), D9 = "Periode"), 1, D9+1)),"")</f>
        <v>9</v>
      </c>
      <c r="E10" s="77" t="str">
        <f>IF(E9="december","",IF(Verloningsperiodiciteit="maandelijks",rekenwaarden!F11,_xlfn.CONCAT("Periode ",rekenwaarden!E11)))</f>
        <v>Periode 9</v>
      </c>
      <c r="F10" s="78">
        <f t="shared" si="0"/>
        <v>46615</v>
      </c>
      <c r="G10" s="78">
        <f>IF(F10="", "", IF(Verloningsperiodiciteit="Vierwekelijks", _xlfn.XLOOKUP(F10,rekenwaarden!$C$3:$C$54,rekenwaarden!$D$3:$D$54,"niet gevonden",-1), _xlfn.XLOOKUP(F10,rekenwaarden!$I$3:$I$54,rekenwaarden!$J$3:$J$54,"niet gevonden",-1)))</f>
        <v>46642</v>
      </c>
      <c r="H10" s="79">
        <f>IF(Tabel1[[#This Row],[Inkomstenperiode]]="","",DATEDIF(Geboortedatum,Tabel1[[#This Row],[DatEindTv]],"Y"))</f>
        <v>47</v>
      </c>
      <c r="I10" s="78">
        <f>IF(Tabel1[[#This Row],[Inkomstenperiode]]="","",IF(Datum_Aanvang_IKV="","",Datum_Aanvang_IKV))</f>
        <v>46402</v>
      </c>
      <c r="J10" s="78" t="str">
        <f>IF(Tabel1[[#This Row],[Inkomstenperiode]]="","",IF(Datum_Einde_IKV="","",Datum_Einde_IKV))</f>
        <v/>
      </c>
      <c r="K10" s="80"/>
      <c r="L10" s="80">
        <v>13</v>
      </c>
      <c r="M10" s="80">
        <v>1</v>
      </c>
      <c r="N10" s="80">
        <v>173.33333333333334</v>
      </c>
      <c r="O10" s="81">
        <v>12000</v>
      </c>
      <c r="P10" s="81">
        <v>0</v>
      </c>
      <c r="Q10" s="81">
        <v>0</v>
      </c>
      <c r="R10" s="81">
        <v>0</v>
      </c>
      <c r="S10" s="81">
        <v>0</v>
      </c>
      <c r="T10" s="81">
        <v>12000</v>
      </c>
      <c r="U10" s="105">
        <f>IF(Tabel1[[#This Row],[Inkomstenperiode]]="","",IF(OR(Tabel1[[#This Row],[Leeftijd]]&lt;18,Tabel1[[#This Row],[Leeftijd]]&gt;=68),0,IF(Tabel1[[#This Row],[CdRdnEindArbov]]=33,0,IF(AND(OR(Tabel1[[#This Row],[SrtIV]]=13,Tabel1[[#This Row],[SrtIV]]=15,Tabel1[[#This Row],[SrtIV]]=31),OR(Tabel1[[#This Row],[CdAard]]=1,Tabel1[[#This Row],[CdAard]]=11,Tabel1[[#This Row],[CdAard]]=82,Tabel1[[#This Row],[CdAard]]=83)),Tabel1[[#This Row],[LnInGld]]+Tabel1[[#This Row],[OpgRchtVakBsl]]-Tabel1[[#This Row],[VakBsl]]+Tabel1[[#This Row],[OpbAvwb]]-Tabel1[[#This Row],[OpnAvwb]],0))))</f>
        <v>12000</v>
      </c>
    </row>
    <row r="11" spans="1:36" x14ac:dyDescent="0.25">
      <c r="D11" s="104">
        <f>IF(OR($B$5&gt;G10,$B$5=""),IF(AND($B$2="Maandelijks", COUNTIF($D$1:D10, 12)=1), "",IF(OR(AND($B$2="Maandelijks", D10=12),AND($B$2="Vierwekelijks", D10=13), D10 = "Periode"), 1, D10+1)),"")</f>
        <v>10</v>
      </c>
      <c r="E11" s="77" t="str">
        <f>IF(E10="december","",IF(Verloningsperiodiciteit="maandelijks",rekenwaarden!F12,_xlfn.CONCAT("Periode ",rekenwaarden!E12)))</f>
        <v>Periode 10</v>
      </c>
      <c r="F11" s="78">
        <f t="shared" si="0"/>
        <v>46643</v>
      </c>
      <c r="G11" s="78">
        <f>IF(F11="", "", IF(Verloningsperiodiciteit="Vierwekelijks", _xlfn.XLOOKUP(F11,rekenwaarden!$C$3:$C$54,rekenwaarden!$D$3:$D$54,"niet gevonden",-1), _xlfn.XLOOKUP(F11,rekenwaarden!$I$3:$I$54,rekenwaarden!$J$3:$J$54,"niet gevonden",-1)))</f>
        <v>46670</v>
      </c>
      <c r="H11" s="79">
        <f>IF(Tabel1[[#This Row],[Inkomstenperiode]]="","",DATEDIF(Geboortedatum,Tabel1[[#This Row],[DatEindTv]],"Y"))</f>
        <v>47</v>
      </c>
      <c r="I11" s="78">
        <f>IF(Tabel1[[#This Row],[Inkomstenperiode]]="","",IF(Datum_Aanvang_IKV="","",Datum_Aanvang_IKV))</f>
        <v>46402</v>
      </c>
      <c r="J11" s="78" t="str">
        <f>IF(Tabel1[[#This Row],[Inkomstenperiode]]="","",IF(Datum_Einde_IKV="","",Datum_Einde_IKV))</f>
        <v/>
      </c>
      <c r="K11" s="80"/>
      <c r="L11" s="80">
        <v>13</v>
      </c>
      <c r="M11" s="80">
        <v>1</v>
      </c>
      <c r="N11" s="80">
        <v>173.33333333333334</v>
      </c>
      <c r="O11" s="81">
        <v>9000</v>
      </c>
      <c r="P11" s="81">
        <v>0</v>
      </c>
      <c r="Q11" s="81">
        <v>0</v>
      </c>
      <c r="R11" s="81">
        <v>0</v>
      </c>
      <c r="S11" s="81">
        <v>0</v>
      </c>
      <c r="T11" s="81">
        <v>9000</v>
      </c>
      <c r="U11" s="105">
        <f>IF(Tabel1[[#This Row],[Inkomstenperiode]]="","",IF(OR(Tabel1[[#This Row],[Leeftijd]]&lt;18,Tabel1[[#This Row],[Leeftijd]]&gt;=68),0,IF(Tabel1[[#This Row],[CdRdnEindArbov]]=33,0,IF(AND(OR(Tabel1[[#This Row],[SrtIV]]=13,Tabel1[[#This Row],[SrtIV]]=15,Tabel1[[#This Row],[SrtIV]]=31),OR(Tabel1[[#This Row],[CdAard]]=1,Tabel1[[#This Row],[CdAard]]=11,Tabel1[[#This Row],[CdAard]]=82,Tabel1[[#This Row],[CdAard]]=83)),Tabel1[[#This Row],[LnInGld]]+Tabel1[[#This Row],[OpgRchtVakBsl]]-Tabel1[[#This Row],[VakBsl]]+Tabel1[[#This Row],[OpbAvwb]]-Tabel1[[#This Row],[OpnAvwb]],0))))</f>
        <v>9000</v>
      </c>
    </row>
    <row r="12" spans="1:36" x14ac:dyDescent="0.25">
      <c r="D12" s="104">
        <f>IF(OR($B$5&gt;G11,$B$5=""),IF(AND($B$2="Maandelijks", COUNTIF($D$1:D11, 12)=1), "",IF(OR(AND($B$2="Maandelijks", D11=12),AND($B$2="Vierwekelijks", D11=13), D11 = "Periode"), 1, D11+1)),"")</f>
        <v>11</v>
      </c>
      <c r="E12" s="77" t="str">
        <f>IF(E11="december","",IF(Verloningsperiodiciteit="maandelijks",rekenwaarden!F13,_xlfn.CONCAT("Periode ",rekenwaarden!E13)))</f>
        <v>Periode 11</v>
      </c>
      <c r="F12" s="78">
        <f t="shared" si="0"/>
        <v>46671</v>
      </c>
      <c r="G12" s="78">
        <f>IF(F12="", "", IF(Verloningsperiodiciteit="Vierwekelijks", _xlfn.XLOOKUP(F12,rekenwaarden!$C$3:$C$54,rekenwaarden!$D$3:$D$54,"niet gevonden",-1), _xlfn.XLOOKUP(F12,rekenwaarden!$I$3:$I$54,rekenwaarden!$J$3:$J$54,"niet gevonden",-1)))</f>
        <v>46698</v>
      </c>
      <c r="H12" s="79">
        <f>IF(Tabel1[[#This Row],[Inkomstenperiode]]="","",DATEDIF(Geboortedatum,Tabel1[[#This Row],[DatEindTv]],"Y"))</f>
        <v>47</v>
      </c>
      <c r="I12" s="78">
        <f>IF(Tabel1[[#This Row],[Inkomstenperiode]]="","",IF(Datum_Aanvang_IKV="","",Datum_Aanvang_IKV))</f>
        <v>46402</v>
      </c>
      <c r="J12" s="78" t="str">
        <f>IF(Tabel1[[#This Row],[Inkomstenperiode]]="","",IF(Datum_Einde_IKV="","",Datum_Einde_IKV))</f>
        <v/>
      </c>
      <c r="K12" s="80"/>
      <c r="L12" s="80">
        <v>13</v>
      </c>
      <c r="M12" s="80">
        <v>1</v>
      </c>
      <c r="N12" s="80">
        <v>173.33333333333334</v>
      </c>
      <c r="O12" s="81">
        <v>9500</v>
      </c>
      <c r="P12" s="81">
        <v>0</v>
      </c>
      <c r="Q12" s="81">
        <v>0</v>
      </c>
      <c r="R12" s="81">
        <v>0</v>
      </c>
      <c r="S12" s="81">
        <v>0</v>
      </c>
      <c r="T12" s="81">
        <v>9500</v>
      </c>
      <c r="U12" s="105">
        <f>IF(Tabel1[[#This Row],[Inkomstenperiode]]="","",IF(OR(Tabel1[[#This Row],[Leeftijd]]&lt;18,Tabel1[[#This Row],[Leeftijd]]&gt;=68),0,IF(Tabel1[[#This Row],[CdRdnEindArbov]]=33,0,IF(AND(OR(Tabel1[[#This Row],[SrtIV]]=13,Tabel1[[#This Row],[SrtIV]]=15,Tabel1[[#This Row],[SrtIV]]=31),OR(Tabel1[[#This Row],[CdAard]]=1,Tabel1[[#This Row],[CdAard]]=11,Tabel1[[#This Row],[CdAard]]=82,Tabel1[[#This Row],[CdAard]]=83)),Tabel1[[#This Row],[LnInGld]]+Tabel1[[#This Row],[OpgRchtVakBsl]]-Tabel1[[#This Row],[VakBsl]]+Tabel1[[#This Row],[OpbAvwb]]-Tabel1[[#This Row],[OpnAvwb]],0))))</f>
        <v>9500</v>
      </c>
    </row>
    <row r="13" spans="1:36" x14ac:dyDescent="0.25">
      <c r="D13" s="104">
        <f>IF(OR($B$5&gt;G12,$B$5=""),IF(AND($B$2="Maandelijks", COUNTIF($D$1:D12, 12)=1), "",IF(OR(AND($B$2="Maandelijks", D12=12),AND($B$2="Vierwekelijks", D12=13), D12 = "Periode"), 1, D12+1)),"")</f>
        <v>12</v>
      </c>
      <c r="E13" s="77" t="str">
        <f>IF(E12="december","",IF(Verloningsperiodiciteit="maandelijks",rekenwaarden!F14,_xlfn.CONCAT("Periode ",rekenwaarden!E14)))</f>
        <v>Periode 12</v>
      </c>
      <c r="F13" s="78">
        <f t="shared" si="0"/>
        <v>46699</v>
      </c>
      <c r="G13" s="78">
        <f>IF(F13="", "", IF(Verloningsperiodiciteit="Vierwekelijks", _xlfn.XLOOKUP(F13,rekenwaarden!$C$3:$C$54,rekenwaarden!$D$3:$D$54,"niet gevonden",-1), _xlfn.XLOOKUP(F13,rekenwaarden!$I$3:$I$54,rekenwaarden!$J$3:$J$54,"niet gevonden",-1)))</f>
        <v>46726</v>
      </c>
      <c r="H13" s="79">
        <f>IF(Tabel1[[#This Row],[Inkomstenperiode]]="","",DATEDIF(Geboortedatum,Tabel1[[#This Row],[DatEindTv]],"Y"))</f>
        <v>47</v>
      </c>
      <c r="I13" s="78">
        <f>IF(Tabel1[[#This Row],[Inkomstenperiode]]="","",IF(Datum_Aanvang_IKV="","",Datum_Aanvang_IKV))</f>
        <v>46402</v>
      </c>
      <c r="J13" s="78" t="str">
        <f>IF(Tabel1[[#This Row],[Inkomstenperiode]]="","",IF(Datum_Einde_IKV="","",Datum_Einde_IKV))</f>
        <v/>
      </c>
      <c r="K13" s="80"/>
      <c r="L13" s="80">
        <v>13</v>
      </c>
      <c r="M13" s="80">
        <v>1</v>
      </c>
      <c r="N13" s="80">
        <v>173.33333333333334</v>
      </c>
      <c r="O13" s="81">
        <v>9700</v>
      </c>
      <c r="P13" s="81">
        <v>0</v>
      </c>
      <c r="Q13" s="81">
        <v>0</v>
      </c>
      <c r="R13" s="81">
        <v>0</v>
      </c>
      <c r="S13" s="81">
        <v>0</v>
      </c>
      <c r="T13" s="81">
        <v>9700</v>
      </c>
      <c r="U13" s="105">
        <f>IF(Tabel1[[#This Row],[Inkomstenperiode]]="","",IF(OR(Tabel1[[#This Row],[Leeftijd]]&lt;18,Tabel1[[#This Row],[Leeftijd]]&gt;=68),0,IF(Tabel1[[#This Row],[CdRdnEindArbov]]=33,0,IF(AND(OR(Tabel1[[#This Row],[SrtIV]]=13,Tabel1[[#This Row],[SrtIV]]=15,Tabel1[[#This Row],[SrtIV]]=31),OR(Tabel1[[#This Row],[CdAard]]=1,Tabel1[[#This Row],[CdAard]]=11,Tabel1[[#This Row],[CdAard]]=82,Tabel1[[#This Row],[CdAard]]=83)),Tabel1[[#This Row],[LnInGld]]+Tabel1[[#This Row],[OpgRchtVakBsl]]-Tabel1[[#This Row],[VakBsl]]+Tabel1[[#This Row],[OpbAvwb]]-Tabel1[[#This Row],[OpnAvwb]],0))))</f>
        <v>9700</v>
      </c>
    </row>
    <row r="14" spans="1:36" ht="13" thickBot="1" x14ac:dyDescent="0.3">
      <c r="D14" s="106">
        <f>IF(OR($B$5&gt;G13,$B$5=""),IF(AND($B$2="Maandelijks", COUNTIF($D$1:D13, 12)=1), "",IF(OR(AND($B$2="Maandelijks", D13=12),AND($B$2="Vierwekelijks", D13=13), D13 = "Periode"), 1, D13+1)),"")</f>
        <v>13</v>
      </c>
      <c r="E14" s="107" t="str">
        <f>IF(E13="december","",IF(Verloningsperiodiciteit="maandelijks",rekenwaarden!F15,_xlfn.CONCAT("Periode ",rekenwaarden!E15)))</f>
        <v>Periode 13</v>
      </c>
      <c r="F14" s="108">
        <f t="shared" si="0"/>
        <v>46727</v>
      </c>
      <c r="G14" s="108">
        <f>IF(F14="", "", IF(Verloningsperiodiciteit="Vierwekelijks", _xlfn.XLOOKUP(F14,rekenwaarden!$C$3:$C$54,rekenwaarden!$D$3:$D$54,"niet gevonden",-1), _xlfn.XLOOKUP(F14,rekenwaarden!$I$3:$I$54,rekenwaarden!$J$3:$J$54,"niet gevonden",-1)))</f>
        <v>46752</v>
      </c>
      <c r="H14" s="109">
        <f>IF(Tabel1[[#This Row],[Inkomstenperiode]]="","",DATEDIF(Geboortedatum,Tabel1[[#This Row],[DatEindTv]],"Y"))</f>
        <v>47</v>
      </c>
      <c r="I14" s="108">
        <f>IF(Tabel1[[#This Row],[Inkomstenperiode]]="","",IF(Datum_Aanvang_IKV="","",Datum_Aanvang_IKV))</f>
        <v>46402</v>
      </c>
      <c r="J14" s="108" t="str">
        <f>IF(Tabel1[[#This Row],[Inkomstenperiode]]="","",IF(Datum_Einde_IKV="","",Datum_Einde_IKV))</f>
        <v/>
      </c>
      <c r="K14" s="110"/>
      <c r="L14" s="110">
        <v>13</v>
      </c>
      <c r="M14" s="110">
        <v>1</v>
      </c>
      <c r="N14" s="110"/>
      <c r="O14" s="111"/>
      <c r="P14" s="111"/>
      <c r="Q14" s="111"/>
      <c r="R14" s="111"/>
      <c r="S14" s="111"/>
      <c r="T14" s="111"/>
      <c r="U14" s="112">
        <f>IF(Tabel1[[#This Row],[Inkomstenperiode]]="","",IF(OR(Tabel1[[#This Row],[Leeftijd]]&lt;18,Tabel1[[#This Row],[Leeftijd]]&gt;=68),0,IF(Tabel1[[#This Row],[CdRdnEindArbov]]=33,0,IF(AND(OR(Tabel1[[#This Row],[SrtIV]]=13,Tabel1[[#This Row],[SrtIV]]=15,Tabel1[[#This Row],[SrtIV]]=31),OR(Tabel1[[#This Row],[CdAard]]=1,Tabel1[[#This Row],[CdAard]]=11,Tabel1[[#This Row],[CdAard]]=82,Tabel1[[#This Row],[CdAard]]=83)),Tabel1[[#This Row],[LnInGld]]+Tabel1[[#This Row],[OpgRchtVakBsl]]-Tabel1[[#This Row],[VakBsl]]+Tabel1[[#This Row],[OpbAvwb]]-Tabel1[[#This Row],[OpnAvwb]],0))))</f>
        <v>0</v>
      </c>
    </row>
    <row r="15" spans="1:36" ht="13" thickBot="1" x14ac:dyDescent="0.3">
      <c r="D15" s="90"/>
      <c r="E15" s="96"/>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row>
    <row r="16" spans="1:36" ht="15" thickTop="1" x14ac:dyDescent="0.35">
      <c r="C16" s="74"/>
      <c r="E16" s="77"/>
      <c r="F16" s="65"/>
      <c r="G16" s="65"/>
      <c r="H16" s="242" t="s">
        <v>28</v>
      </c>
      <c r="I16" s="243"/>
      <c r="J16" s="65"/>
      <c r="K16" s="65"/>
      <c r="L16" s="65"/>
      <c r="M16" s="65"/>
      <c r="N16" s="77"/>
      <c r="O16" s="65"/>
      <c r="P16" s="65"/>
      <c r="Q16" s="65"/>
      <c r="R16" s="65"/>
      <c r="S16" s="65"/>
      <c r="T16" s="65"/>
      <c r="U16" s="65"/>
      <c r="V16" s="65"/>
      <c r="W16" s="65"/>
      <c r="X16" s="65"/>
      <c r="Y16" s="65"/>
      <c r="Z16" s="65"/>
      <c r="AA16" s="65"/>
      <c r="AB16" s="89" t="s">
        <v>29</v>
      </c>
      <c r="AC16" s="66"/>
      <c r="AD16" s="66" t="s">
        <v>30</v>
      </c>
      <c r="AE16" s="66"/>
      <c r="AF16" s="66" t="s">
        <v>31</v>
      </c>
      <c r="AG16" s="66" t="s">
        <v>32</v>
      </c>
      <c r="AH16" s="66" t="s">
        <v>33</v>
      </c>
      <c r="AI16" s="66" t="s">
        <v>34</v>
      </c>
      <c r="AJ16" s="91" t="s">
        <v>35</v>
      </c>
    </row>
    <row r="17" spans="3:36" ht="26" x14ac:dyDescent="0.25">
      <c r="C17" s="74"/>
      <c r="D17" s="244" t="s">
        <v>1</v>
      </c>
      <c r="E17" s="244"/>
      <c r="F17" s="2" t="s">
        <v>36</v>
      </c>
      <c r="G17" s="2" t="s">
        <v>37</v>
      </c>
      <c r="H17" s="68" t="s">
        <v>38</v>
      </c>
      <c r="I17" s="68" t="s">
        <v>18</v>
      </c>
      <c r="J17" s="3" t="s">
        <v>39</v>
      </c>
      <c r="K17" s="2" t="s">
        <v>40</v>
      </c>
      <c r="L17" s="2" t="s">
        <v>37</v>
      </c>
      <c r="M17" s="4" t="s">
        <v>41</v>
      </c>
      <c r="N17" s="4" t="s">
        <v>42</v>
      </c>
      <c r="O17" s="4" t="s">
        <v>43</v>
      </c>
      <c r="P17" s="61" t="s">
        <v>44</v>
      </c>
      <c r="Q17" s="2" t="s">
        <v>45</v>
      </c>
      <c r="R17" s="2" t="s">
        <v>46</v>
      </c>
      <c r="S17" s="2" t="s">
        <v>47</v>
      </c>
      <c r="T17" s="3" t="s">
        <v>48</v>
      </c>
      <c r="U17" s="2" t="s">
        <v>49</v>
      </c>
      <c r="V17" s="2" t="s">
        <v>50</v>
      </c>
      <c r="W17" s="2" t="s">
        <v>51</v>
      </c>
      <c r="X17" s="2" t="s">
        <v>52</v>
      </c>
      <c r="Y17" s="2" t="s">
        <v>53</v>
      </c>
      <c r="Z17" s="2" t="s">
        <v>54</v>
      </c>
      <c r="AA17" s="2" t="s">
        <v>55</v>
      </c>
      <c r="AB17" s="64" t="s">
        <v>56</v>
      </c>
      <c r="AC17" s="64" t="s">
        <v>57</v>
      </c>
      <c r="AD17" s="64" t="s">
        <v>56</v>
      </c>
      <c r="AE17" s="64" t="s">
        <v>57</v>
      </c>
      <c r="AF17" s="64" t="s">
        <v>58</v>
      </c>
      <c r="AG17" s="64" t="s">
        <v>58</v>
      </c>
      <c r="AH17" s="64" t="s">
        <v>58</v>
      </c>
      <c r="AI17" s="64" t="s">
        <v>58</v>
      </c>
      <c r="AJ17" s="92" t="s">
        <v>58</v>
      </c>
    </row>
    <row r="18" spans="3:36" x14ac:dyDescent="0.25">
      <c r="C18" s="74"/>
      <c r="D18" s="1">
        <f>D2</f>
        <v>1</v>
      </c>
      <c r="E18" s="71" t="str">
        <f>E2</f>
        <v>Periode 1</v>
      </c>
      <c r="F18" s="69">
        <f>F2</f>
        <v>46388</v>
      </c>
      <c r="G18" s="69">
        <f>G2</f>
        <v>46418</v>
      </c>
      <c r="H18" s="67">
        <f>N2</f>
        <v>173.33333333333334</v>
      </c>
      <c r="I18" s="70">
        <f>U2</f>
        <v>7000</v>
      </c>
      <c r="J18" s="5">
        <f t="shared" ref="J18:J30" si="1">IF(E18="","",Normuren_per_week)</f>
        <v>40</v>
      </c>
      <c r="K18" s="69">
        <f t="shared" ref="K18:K30" si="2">IF(OR(MAX($B$4, F18)&gt;G18, MIN(Datum_Einde_IKV, G18)&lt;F18),"", MAX(Datum_Aanvang_IKV, F18))</f>
        <v>46402</v>
      </c>
      <c r="L18" s="69">
        <f t="shared" ref="L18:L30" si="3">IF(OR(MAX(Datum_Aanvang_IKV, F18)&gt;G18, MIN(Datum_Einde_IKV, G18)&lt;F18),"", MIN(Datum_Einde_IKV, G18))</f>
        <v>46418</v>
      </c>
      <c r="M18" s="71">
        <f>IF(K18="","",L18-K18+1)</f>
        <v>17</v>
      </c>
      <c r="N18" s="72">
        <f t="shared" ref="N18:N30" si="4">IF(K18="", "",  M18 / (G18-F18+1))</f>
        <v>0.54838709677419351</v>
      </c>
      <c r="O18" s="73">
        <f t="shared" ref="O18:O30" si="5">IF(K18="","",N18/IF(Verloningsperiodiciteit= "Maandelijk",12,13))</f>
        <v>4.2183622828784115E-2</v>
      </c>
      <c r="P18" s="62">
        <f t="shared" ref="P18:P30" si="6">IF(K18="","",J18*52/IF(Verloningsperiodiciteit="Maandelijks",12,13)*N18)</f>
        <v>87.741935483870961</v>
      </c>
      <c r="Q18" s="63">
        <f t="shared" ref="Q18:Q30" si="7">IF(K18="","",MIN(I18+IF(AND(D18&lt;&gt;1, Q17&lt;&gt;""),Q17,0)))</f>
        <v>7000</v>
      </c>
      <c r="R18" s="7">
        <f t="shared" ref="R18:R30" si="8">IF(K18="","",H18+IF(AND(D18&lt;&gt;1, R17&lt;&gt;""),R17,0))</f>
        <v>173.33333333333334</v>
      </c>
      <c r="S18" s="7">
        <f t="shared" ref="S18:S30" si="9">IF(K18="","",P18+IF(AND(D18&lt;&gt;1, S17&lt;&gt;""),S17,0))</f>
        <v>87.741935483870961</v>
      </c>
      <c r="T18" s="6">
        <f>IF(K18="",0,R18/S18)</f>
        <v>1.9754901960784317</v>
      </c>
      <c r="U18" s="7">
        <f>IF(K18="","",VLOOKUP($B$6,rekenwaarden!M$8:N$12,2))</f>
        <v>8.31</v>
      </c>
      <c r="V18" s="63">
        <f t="shared" ref="V18:V30" si="10">IF(K18="","",U18*H18)</f>
        <v>1440.4</v>
      </c>
      <c r="W18" s="63">
        <f t="shared" ref="W18:W30" si="11">IF(K18="","",V18+IF(AND(D18&lt;&gt;1, W17&lt;&gt;""),W17,0))</f>
        <v>1440.4</v>
      </c>
      <c r="X18" s="63">
        <f>IF(K18="","", VLOOKUP(B$6,rekenwaarden!M$8:T$12,3)*O18)</f>
        <v>3349.7593052109178</v>
      </c>
      <c r="Y18" s="63">
        <f t="shared" ref="Y18:Y30" si="12">IF(K18="","",X18+IF(AND(D18&lt;&gt;1, Y17&lt;&gt;""),Y17,0))</f>
        <v>3349.7593052109178</v>
      </c>
      <c r="Z18" s="63">
        <f>IF(K18="","", VLOOKUP($B$6,rekenwaarden!M$8:T$12,4)*O18)</f>
        <v>5812.9032258064508</v>
      </c>
      <c r="AA18" s="63">
        <f t="shared" ref="AA18:AA30" si="13">IF(K18="","",Z18+IF(AND(D18&lt;&gt;1, AA17&lt;&gt;""),AA17,0))</f>
        <v>5812.9032258064508</v>
      </c>
      <c r="AB18" s="63">
        <f t="shared" ref="AB18:AB30" si="14">IF(K18="", "", MAX(MIN(Q18, Y18*MIN(1, T18))-W18, 0))</f>
        <v>1909.3593052109177</v>
      </c>
      <c r="AC18" s="63">
        <f t="shared" ref="AC18:AC30" si="15">IF(K18="","",AB18-IF(AND(D18&lt;&gt;1, AB17&lt;&gt;""),AB17,0))</f>
        <v>1909.3593052109177</v>
      </c>
      <c r="AD18" s="63">
        <f>IF(OR($B$8="ONWAAR", K18=""), "", MAX(MIN(Q18, AA18*MIN(1, T18))-Y18*MIN(1, T18), 0))</f>
        <v>2463.143920595533</v>
      </c>
      <c r="AE18" s="63">
        <f>IF(OR(K18="", AD18=""),"",AD18-IF(AND(D18&lt;&gt;1, AD17&lt;&gt;""),AD17,0))</f>
        <v>2463.143920595533</v>
      </c>
      <c r="AF18" s="86">
        <f ca="1">IF($K18="", 0, AC18*INDIRECT(CONCATENATE("premiepct", YEAR(F18))))</f>
        <v>567.07971364764251</v>
      </c>
      <c r="AG18" s="86">
        <f ca="1">IF(OR($F$4=FALSE, K18=""), 0, AE18*INDIRECT(CONCATENATE("premiepct", YEAR($F18))))</f>
        <v>731.55374441687331</v>
      </c>
      <c r="AH18" s="86"/>
      <c r="AI18" s="86"/>
      <c r="AJ18" s="93">
        <f ca="1">SUM(AF18:AI18)</f>
        <v>1298.6334580645157</v>
      </c>
    </row>
    <row r="19" spans="3:36" x14ac:dyDescent="0.25">
      <c r="C19" s="74"/>
      <c r="D19" s="1">
        <f t="shared" ref="D19:D30" si="16">D3</f>
        <v>2</v>
      </c>
      <c r="E19" s="71" t="str">
        <f t="shared" ref="E19:G30" si="17">E3</f>
        <v>Periode 2</v>
      </c>
      <c r="F19" s="69">
        <f t="shared" si="17"/>
        <v>46419</v>
      </c>
      <c r="G19" s="69">
        <f t="shared" si="17"/>
        <v>46446</v>
      </c>
      <c r="H19" s="67">
        <f t="shared" ref="H19:H30" si="18">N3</f>
        <v>173.33333333333334</v>
      </c>
      <c r="I19" s="70">
        <f t="shared" ref="I19:I30" si="19">U3</f>
        <v>5000</v>
      </c>
      <c r="J19" s="5">
        <f t="shared" si="1"/>
        <v>40</v>
      </c>
      <c r="K19" s="69">
        <f t="shared" si="2"/>
        <v>46419</v>
      </c>
      <c r="L19" s="69">
        <f t="shared" si="3"/>
        <v>46446</v>
      </c>
      <c r="M19" s="71">
        <f t="shared" ref="M19:M30" si="20">IF(K19="","",L19-K19+1)</f>
        <v>28</v>
      </c>
      <c r="N19" s="72">
        <f t="shared" si="4"/>
        <v>1</v>
      </c>
      <c r="O19" s="73">
        <f t="shared" si="5"/>
        <v>7.6923076923076927E-2</v>
      </c>
      <c r="P19" s="62">
        <f t="shared" si="6"/>
        <v>160</v>
      </c>
      <c r="Q19" s="63">
        <f t="shared" si="7"/>
        <v>12000</v>
      </c>
      <c r="R19" s="7">
        <f t="shared" si="8"/>
        <v>346.66666666666669</v>
      </c>
      <c r="S19" s="7">
        <f t="shared" si="9"/>
        <v>247.74193548387098</v>
      </c>
      <c r="T19" s="8">
        <f t="shared" ref="T19:T30" si="21">IF(K19="","",R19/S19)</f>
        <v>1.3993055555555556</v>
      </c>
      <c r="U19" s="7">
        <f>IF(K19="","",VLOOKUP($B$6,rekenwaarden!M$8:N$12,2))</f>
        <v>8.31</v>
      </c>
      <c r="V19" s="63">
        <f t="shared" si="10"/>
        <v>1440.4</v>
      </c>
      <c r="W19" s="63">
        <f t="shared" si="11"/>
        <v>2880.8</v>
      </c>
      <c r="X19" s="63">
        <f>IF(K19="","", VLOOKUP(B$6,rekenwaarden!M$8:T$12,3)*O19)</f>
        <v>6108.3846153846162</v>
      </c>
      <c r="Y19" s="63">
        <f t="shared" si="12"/>
        <v>9458.1439205955339</v>
      </c>
      <c r="Z19" s="63">
        <f>IF(K19="","", VLOOKUP($B$6,rekenwaarden!M$8:T$12,4)*O19)</f>
        <v>10600</v>
      </c>
      <c r="AA19" s="63">
        <f t="shared" si="13"/>
        <v>16412.903225806451</v>
      </c>
      <c r="AB19" s="63">
        <f t="shared" si="14"/>
        <v>6577.3439205955337</v>
      </c>
      <c r="AC19" s="63">
        <f t="shared" si="15"/>
        <v>4667.9846153846156</v>
      </c>
      <c r="AD19" s="63">
        <f t="shared" ref="AD19:AD30" si="22">IF(OR($B$8="ONWAAR", K19=""), "", MAX(MIN(Q19, AA19*MIN(1, T19))-Y19*MIN(1, T19), 0))</f>
        <v>2541.8560794044661</v>
      </c>
      <c r="AE19" s="63">
        <f t="shared" ref="AE19:AE30" si="23">IF(OR(K19="", AD19=""),"",AD19-IF(AND(D19&lt;&gt;1, AD18&lt;&gt;""),AD18,0))</f>
        <v>78.712158808933054</v>
      </c>
      <c r="AF19" s="86">
        <f t="shared" ref="AF19:AF30" ca="1" si="24">IF($K19="", 0, AC19*INDIRECT(CONCATENATE("premiepct", YEAR(F19))))</f>
        <v>1386.3914307692307</v>
      </c>
      <c r="AG19" s="86">
        <f t="shared" ref="AG19:AG30" ca="1" si="25">IF(OR($F$4=FALSE, K19=""), 0, AE19*INDIRECT(CONCATENATE("premiepct", YEAR($F19))))</f>
        <v>23.377511166253115</v>
      </c>
      <c r="AH19" s="86"/>
      <c r="AI19" s="86"/>
      <c r="AJ19" s="93">
        <f t="shared" ref="AJ19:AJ30" ca="1" si="26">SUM(AF19:AI19)</f>
        <v>1409.7689419354838</v>
      </c>
    </row>
    <row r="20" spans="3:36" x14ac:dyDescent="0.25">
      <c r="C20" s="74"/>
      <c r="D20" s="1">
        <f t="shared" si="16"/>
        <v>3</v>
      </c>
      <c r="E20" s="71" t="str">
        <f t="shared" si="17"/>
        <v>Periode 3</v>
      </c>
      <c r="F20" s="69">
        <f t="shared" si="17"/>
        <v>46447</v>
      </c>
      <c r="G20" s="69">
        <f t="shared" si="17"/>
        <v>46474</v>
      </c>
      <c r="H20" s="67">
        <f t="shared" si="18"/>
        <v>173.33333333333334</v>
      </c>
      <c r="I20" s="70">
        <f t="shared" si="19"/>
        <v>9000</v>
      </c>
      <c r="J20" s="5">
        <f t="shared" si="1"/>
        <v>40</v>
      </c>
      <c r="K20" s="69">
        <f t="shared" si="2"/>
        <v>46447</v>
      </c>
      <c r="L20" s="69">
        <f t="shared" si="3"/>
        <v>46474</v>
      </c>
      <c r="M20" s="71">
        <f t="shared" si="20"/>
        <v>28</v>
      </c>
      <c r="N20" s="72">
        <f t="shared" si="4"/>
        <v>1</v>
      </c>
      <c r="O20" s="73">
        <f t="shared" si="5"/>
        <v>7.6923076923076927E-2</v>
      </c>
      <c r="P20" s="62">
        <f t="shared" si="6"/>
        <v>160</v>
      </c>
      <c r="Q20" s="63">
        <f t="shared" si="7"/>
        <v>21000</v>
      </c>
      <c r="R20" s="7">
        <f t="shared" si="8"/>
        <v>520</v>
      </c>
      <c r="S20" s="7">
        <f t="shared" si="9"/>
        <v>407.74193548387098</v>
      </c>
      <c r="T20" s="8">
        <f t="shared" si="21"/>
        <v>1.2753164556962024</v>
      </c>
      <c r="U20" s="7">
        <f>IF(K20="","",VLOOKUP($B$6,rekenwaarden!M$8:N$12,2))</f>
        <v>8.31</v>
      </c>
      <c r="V20" s="63">
        <f t="shared" si="10"/>
        <v>1440.4</v>
      </c>
      <c r="W20" s="63">
        <f t="shared" si="11"/>
        <v>4321.2000000000007</v>
      </c>
      <c r="X20" s="63">
        <f>IF(K20="","", VLOOKUP(B$6,rekenwaarden!M$8:T$12,3)*O20)</f>
        <v>6108.3846153846162</v>
      </c>
      <c r="Y20" s="63">
        <f t="shared" si="12"/>
        <v>15566.528535980149</v>
      </c>
      <c r="Z20" s="63">
        <f>IF(K20="","", VLOOKUP($B$6,rekenwaarden!M$8:T$12,4)*O20)</f>
        <v>10600</v>
      </c>
      <c r="AA20" s="63">
        <f t="shared" si="13"/>
        <v>27012.903225806451</v>
      </c>
      <c r="AB20" s="63">
        <f t="shared" si="14"/>
        <v>11245.328535980148</v>
      </c>
      <c r="AC20" s="63">
        <f t="shared" si="15"/>
        <v>4667.9846153846147</v>
      </c>
      <c r="AD20" s="63">
        <f t="shared" si="22"/>
        <v>5433.4714640198508</v>
      </c>
      <c r="AE20" s="63">
        <f t="shared" si="23"/>
        <v>2891.6153846153848</v>
      </c>
      <c r="AF20" s="86">
        <f t="shared" ca="1" si="24"/>
        <v>1386.3914307692305</v>
      </c>
      <c r="AG20" s="86">
        <f t="shared" ca="1" si="25"/>
        <v>858.80976923076923</v>
      </c>
      <c r="AH20" s="86"/>
      <c r="AI20" s="86"/>
      <c r="AJ20" s="93">
        <f t="shared" ca="1" si="26"/>
        <v>2245.2011999999995</v>
      </c>
    </row>
    <row r="21" spans="3:36" x14ac:dyDescent="0.25">
      <c r="C21" s="74"/>
      <c r="D21" s="1">
        <f t="shared" si="16"/>
        <v>4</v>
      </c>
      <c r="E21" s="71" t="str">
        <f t="shared" si="17"/>
        <v>Periode 4</v>
      </c>
      <c r="F21" s="69">
        <f t="shared" si="17"/>
        <v>46475</v>
      </c>
      <c r="G21" s="69">
        <f t="shared" si="17"/>
        <v>46502</v>
      </c>
      <c r="H21" s="67">
        <f t="shared" si="18"/>
        <v>173.33333333333334</v>
      </c>
      <c r="I21" s="70">
        <f t="shared" si="19"/>
        <v>9000</v>
      </c>
      <c r="J21" s="5">
        <f t="shared" si="1"/>
        <v>40</v>
      </c>
      <c r="K21" s="69">
        <f t="shared" si="2"/>
        <v>46475</v>
      </c>
      <c r="L21" s="69">
        <f t="shared" si="3"/>
        <v>46502</v>
      </c>
      <c r="M21" s="71">
        <f t="shared" si="20"/>
        <v>28</v>
      </c>
      <c r="N21" s="72">
        <f t="shared" si="4"/>
        <v>1</v>
      </c>
      <c r="O21" s="73">
        <f t="shared" si="5"/>
        <v>7.6923076923076927E-2</v>
      </c>
      <c r="P21" s="62">
        <f t="shared" si="6"/>
        <v>160</v>
      </c>
      <c r="Q21" s="63">
        <f t="shared" si="7"/>
        <v>30000</v>
      </c>
      <c r="R21" s="7">
        <f t="shared" si="8"/>
        <v>693.33333333333337</v>
      </c>
      <c r="S21" s="7">
        <f t="shared" si="9"/>
        <v>567.74193548387098</v>
      </c>
      <c r="T21" s="8">
        <f t="shared" si="21"/>
        <v>1.2212121212121212</v>
      </c>
      <c r="U21" s="7">
        <f>IF(K21="","",VLOOKUP($B$6,rekenwaarden!M$8:N$12,2))</f>
        <v>8.31</v>
      </c>
      <c r="V21" s="63">
        <f t="shared" si="10"/>
        <v>1440.4</v>
      </c>
      <c r="W21" s="63">
        <f t="shared" si="11"/>
        <v>5761.6</v>
      </c>
      <c r="X21" s="63">
        <f>IF(K21="","", VLOOKUP(B$6,rekenwaarden!M$8:T$12,3)*O21)</f>
        <v>6108.3846153846162</v>
      </c>
      <c r="Y21" s="63">
        <f t="shared" si="12"/>
        <v>21674.913151364766</v>
      </c>
      <c r="Z21" s="63">
        <f>IF(K21="","", VLOOKUP($B$6,rekenwaarden!M$8:T$12,4)*O21)</f>
        <v>10600</v>
      </c>
      <c r="AA21" s="63">
        <f t="shared" si="13"/>
        <v>37612.903225806454</v>
      </c>
      <c r="AB21" s="63">
        <f t="shared" si="14"/>
        <v>15913.313151364766</v>
      </c>
      <c r="AC21" s="63">
        <f t="shared" si="15"/>
        <v>4667.9846153846174</v>
      </c>
      <c r="AD21" s="63">
        <f t="shared" si="22"/>
        <v>8325.0868486352338</v>
      </c>
      <c r="AE21" s="63">
        <f t="shared" si="23"/>
        <v>2891.6153846153829</v>
      </c>
      <c r="AF21" s="86">
        <f t="shared" ca="1" si="24"/>
        <v>1386.3914307692314</v>
      </c>
      <c r="AG21" s="86">
        <f t="shared" ca="1" si="25"/>
        <v>858.80976923076867</v>
      </c>
      <c r="AH21" s="86"/>
      <c r="AI21" s="86"/>
      <c r="AJ21" s="93">
        <f t="shared" ca="1" si="26"/>
        <v>2245.2012</v>
      </c>
    </row>
    <row r="22" spans="3:36" x14ac:dyDescent="0.25">
      <c r="C22" s="74"/>
      <c r="D22" s="1">
        <f t="shared" si="16"/>
        <v>5</v>
      </c>
      <c r="E22" s="71" t="str">
        <f t="shared" si="17"/>
        <v>Periode 5</v>
      </c>
      <c r="F22" s="69">
        <f t="shared" si="17"/>
        <v>46503</v>
      </c>
      <c r="G22" s="69">
        <f t="shared" si="17"/>
        <v>46530</v>
      </c>
      <c r="H22" s="67">
        <f t="shared" si="18"/>
        <v>173.33333333333334</v>
      </c>
      <c r="I22" s="70">
        <f t="shared" si="19"/>
        <v>5000</v>
      </c>
      <c r="J22" s="5">
        <f t="shared" si="1"/>
        <v>40</v>
      </c>
      <c r="K22" s="69">
        <f t="shared" si="2"/>
        <v>46503</v>
      </c>
      <c r="L22" s="69">
        <f t="shared" si="3"/>
        <v>46530</v>
      </c>
      <c r="M22" s="71">
        <f t="shared" si="20"/>
        <v>28</v>
      </c>
      <c r="N22" s="72">
        <f t="shared" si="4"/>
        <v>1</v>
      </c>
      <c r="O22" s="73">
        <f t="shared" si="5"/>
        <v>7.6923076923076927E-2</v>
      </c>
      <c r="P22" s="62">
        <f t="shared" si="6"/>
        <v>160</v>
      </c>
      <c r="Q22" s="63">
        <f t="shared" si="7"/>
        <v>35000</v>
      </c>
      <c r="R22" s="7">
        <f t="shared" si="8"/>
        <v>866.66666666666674</v>
      </c>
      <c r="S22" s="7">
        <f t="shared" si="9"/>
        <v>727.74193548387098</v>
      </c>
      <c r="T22" s="8">
        <f t="shared" si="21"/>
        <v>1.1908983451536643</v>
      </c>
      <c r="U22" s="7">
        <f>IF(K22="","",VLOOKUP($B$6,rekenwaarden!M$8:N$12,2))</f>
        <v>8.31</v>
      </c>
      <c r="V22" s="63">
        <f t="shared" si="10"/>
        <v>1440.4</v>
      </c>
      <c r="W22" s="63">
        <f t="shared" si="11"/>
        <v>7202</v>
      </c>
      <c r="X22" s="63">
        <f>IF(K22="","", VLOOKUP(B$6,rekenwaarden!M$8:T$12,3)*O22)</f>
        <v>6108.3846153846162</v>
      </c>
      <c r="Y22" s="63">
        <f t="shared" si="12"/>
        <v>27783.297766749383</v>
      </c>
      <c r="Z22" s="63">
        <f>IF(K22="","", VLOOKUP($B$6,rekenwaarden!M$8:T$12,4)*O22)</f>
        <v>10600</v>
      </c>
      <c r="AA22" s="63">
        <f t="shared" si="13"/>
        <v>48212.903225806454</v>
      </c>
      <c r="AB22" s="63">
        <f t="shared" si="14"/>
        <v>20581.297766749383</v>
      </c>
      <c r="AC22" s="63">
        <f t="shared" si="15"/>
        <v>4667.9846153846174</v>
      </c>
      <c r="AD22" s="63">
        <f t="shared" si="22"/>
        <v>7216.7022332506167</v>
      </c>
      <c r="AE22" s="63">
        <f t="shared" si="23"/>
        <v>-1108.3846153846171</v>
      </c>
      <c r="AF22" s="86">
        <f t="shared" ca="1" si="24"/>
        <v>1386.3914307692314</v>
      </c>
      <c r="AG22" s="86">
        <f t="shared" ca="1" si="25"/>
        <v>-329.19023076923128</v>
      </c>
      <c r="AH22" s="86"/>
      <c r="AI22" s="86"/>
      <c r="AJ22" s="93">
        <f t="shared" ca="1" si="26"/>
        <v>1057.2012000000002</v>
      </c>
    </row>
    <row r="23" spans="3:36" x14ac:dyDescent="0.25">
      <c r="C23" s="74"/>
      <c r="D23" s="1">
        <f t="shared" si="16"/>
        <v>6</v>
      </c>
      <c r="E23" s="71" t="str">
        <f t="shared" si="17"/>
        <v>Periode 6</v>
      </c>
      <c r="F23" s="69">
        <f t="shared" si="17"/>
        <v>46531</v>
      </c>
      <c r="G23" s="69">
        <f t="shared" si="17"/>
        <v>46558</v>
      </c>
      <c r="H23" s="67">
        <f t="shared" si="18"/>
        <v>173.33333333333334</v>
      </c>
      <c r="I23" s="70">
        <f t="shared" si="19"/>
        <v>4000</v>
      </c>
      <c r="J23" s="5">
        <f t="shared" si="1"/>
        <v>40</v>
      </c>
      <c r="K23" s="69">
        <f t="shared" si="2"/>
        <v>46531</v>
      </c>
      <c r="L23" s="69">
        <f t="shared" si="3"/>
        <v>46558</v>
      </c>
      <c r="M23" s="71">
        <f t="shared" si="20"/>
        <v>28</v>
      </c>
      <c r="N23" s="72">
        <f t="shared" si="4"/>
        <v>1</v>
      </c>
      <c r="O23" s="73">
        <f t="shared" si="5"/>
        <v>7.6923076923076927E-2</v>
      </c>
      <c r="P23" s="62">
        <f t="shared" si="6"/>
        <v>160</v>
      </c>
      <c r="Q23" s="63">
        <f t="shared" si="7"/>
        <v>39000</v>
      </c>
      <c r="R23" s="7">
        <f t="shared" si="8"/>
        <v>1040</v>
      </c>
      <c r="S23" s="7">
        <f t="shared" si="9"/>
        <v>887.74193548387098</v>
      </c>
      <c r="T23" s="8">
        <f t="shared" si="21"/>
        <v>1.1715116279069768</v>
      </c>
      <c r="U23" s="7">
        <f>IF(K23="","",VLOOKUP($B$6,rekenwaarden!M$8:N$12,2))</f>
        <v>8.31</v>
      </c>
      <c r="V23" s="63">
        <f t="shared" si="10"/>
        <v>1440.4</v>
      </c>
      <c r="W23" s="63">
        <f t="shared" si="11"/>
        <v>8642.4</v>
      </c>
      <c r="X23" s="63">
        <f>IF(K23="","", VLOOKUP(B$6,rekenwaarden!M$8:T$12,3)*O23)</f>
        <v>6108.3846153846162</v>
      </c>
      <c r="Y23" s="63">
        <f t="shared" si="12"/>
        <v>33891.682382134</v>
      </c>
      <c r="Z23" s="63">
        <f>IF(K23="","", VLOOKUP($B$6,rekenwaarden!M$8:T$12,4)*O23)</f>
        <v>10600</v>
      </c>
      <c r="AA23" s="63">
        <f t="shared" si="13"/>
        <v>58812.903225806454</v>
      </c>
      <c r="AB23" s="63">
        <f t="shared" si="14"/>
        <v>25249.282382133999</v>
      </c>
      <c r="AC23" s="63">
        <f t="shared" si="15"/>
        <v>4667.9846153846156</v>
      </c>
      <c r="AD23" s="63">
        <f t="shared" si="22"/>
        <v>5108.3176178659996</v>
      </c>
      <c r="AE23" s="63">
        <f t="shared" si="23"/>
        <v>-2108.3846153846171</v>
      </c>
      <c r="AF23" s="86">
        <f t="shared" ca="1" si="24"/>
        <v>1386.3914307692307</v>
      </c>
      <c r="AG23" s="86">
        <f t="shared" ca="1" si="25"/>
        <v>-626.19023076923122</v>
      </c>
      <c r="AH23" s="86"/>
      <c r="AI23" s="86"/>
      <c r="AJ23" s="93">
        <f t="shared" ca="1" si="26"/>
        <v>760.20119999999952</v>
      </c>
    </row>
    <row r="24" spans="3:36" x14ac:dyDescent="0.25">
      <c r="C24" s="74"/>
      <c r="D24" s="1">
        <f t="shared" si="16"/>
        <v>7</v>
      </c>
      <c r="E24" s="71" t="str">
        <f t="shared" si="17"/>
        <v>Periode 7</v>
      </c>
      <c r="F24" s="69">
        <f t="shared" si="17"/>
        <v>46559</v>
      </c>
      <c r="G24" s="69">
        <f t="shared" si="17"/>
        <v>46586</v>
      </c>
      <c r="H24" s="67">
        <f t="shared" si="18"/>
        <v>173.33333333333334</v>
      </c>
      <c r="I24" s="70">
        <f t="shared" si="19"/>
        <v>8000</v>
      </c>
      <c r="J24" s="5">
        <f t="shared" si="1"/>
        <v>40</v>
      </c>
      <c r="K24" s="69">
        <f t="shared" si="2"/>
        <v>46559</v>
      </c>
      <c r="L24" s="69">
        <f t="shared" si="3"/>
        <v>46586</v>
      </c>
      <c r="M24" s="71">
        <f t="shared" si="20"/>
        <v>28</v>
      </c>
      <c r="N24" s="72">
        <f t="shared" si="4"/>
        <v>1</v>
      </c>
      <c r="O24" s="73">
        <f t="shared" si="5"/>
        <v>7.6923076923076927E-2</v>
      </c>
      <c r="P24" s="62">
        <f t="shared" si="6"/>
        <v>160</v>
      </c>
      <c r="Q24" s="63">
        <f t="shared" si="7"/>
        <v>47000</v>
      </c>
      <c r="R24" s="7">
        <f t="shared" si="8"/>
        <v>1213.3333333333333</v>
      </c>
      <c r="S24" s="7">
        <f t="shared" si="9"/>
        <v>1047.741935483871</v>
      </c>
      <c r="T24" s="8">
        <f t="shared" si="21"/>
        <v>1.1580459770114941</v>
      </c>
      <c r="U24" s="7">
        <f>IF(K24="","",VLOOKUP($B$6,rekenwaarden!M$8:N$12,2))</f>
        <v>8.31</v>
      </c>
      <c r="V24" s="63">
        <f t="shared" si="10"/>
        <v>1440.4</v>
      </c>
      <c r="W24" s="63">
        <f t="shared" si="11"/>
        <v>10082.799999999999</v>
      </c>
      <c r="X24" s="63">
        <f>IF(K24="","", VLOOKUP(B$6,rekenwaarden!M$8:T$12,3)*O24)</f>
        <v>6108.3846153846162</v>
      </c>
      <c r="Y24" s="63">
        <f t="shared" si="12"/>
        <v>40000.066997518617</v>
      </c>
      <c r="Z24" s="63">
        <f>IF(K24="","", VLOOKUP($B$6,rekenwaarden!M$8:T$12,4)*O24)</f>
        <v>10600</v>
      </c>
      <c r="AA24" s="63">
        <f t="shared" si="13"/>
        <v>69412.903225806454</v>
      </c>
      <c r="AB24" s="63">
        <f t="shared" si="14"/>
        <v>29917.266997518618</v>
      </c>
      <c r="AC24" s="63">
        <f t="shared" si="15"/>
        <v>4667.9846153846192</v>
      </c>
      <c r="AD24" s="63">
        <f t="shared" si="22"/>
        <v>6999.9330024813826</v>
      </c>
      <c r="AE24" s="63">
        <f t="shared" si="23"/>
        <v>1891.6153846153829</v>
      </c>
      <c r="AF24" s="86">
        <f t="shared" ca="1" si="24"/>
        <v>1386.3914307692319</v>
      </c>
      <c r="AG24" s="86">
        <f t="shared" ca="1" si="25"/>
        <v>561.80976923076867</v>
      </c>
      <c r="AH24" s="86"/>
      <c r="AI24" s="86"/>
      <c r="AJ24" s="93">
        <f t="shared" ca="1" si="26"/>
        <v>1948.2012000000004</v>
      </c>
    </row>
    <row r="25" spans="3:36" x14ac:dyDescent="0.25">
      <c r="C25" s="74"/>
      <c r="D25" s="1">
        <f t="shared" si="16"/>
        <v>8</v>
      </c>
      <c r="E25" s="71" t="str">
        <f t="shared" si="17"/>
        <v>Periode 8</v>
      </c>
      <c r="F25" s="69">
        <f t="shared" si="17"/>
        <v>46587</v>
      </c>
      <c r="G25" s="69">
        <f t="shared" si="17"/>
        <v>46614</v>
      </c>
      <c r="H25" s="67">
        <f t="shared" si="18"/>
        <v>173.33333333333334</v>
      </c>
      <c r="I25" s="70">
        <f t="shared" si="19"/>
        <v>7000</v>
      </c>
      <c r="J25" s="5">
        <f t="shared" si="1"/>
        <v>40</v>
      </c>
      <c r="K25" s="69">
        <f t="shared" si="2"/>
        <v>46587</v>
      </c>
      <c r="L25" s="69">
        <f t="shared" si="3"/>
        <v>46614</v>
      </c>
      <c r="M25" s="71">
        <f t="shared" si="20"/>
        <v>28</v>
      </c>
      <c r="N25" s="72">
        <f t="shared" si="4"/>
        <v>1</v>
      </c>
      <c r="O25" s="73">
        <f t="shared" si="5"/>
        <v>7.6923076923076927E-2</v>
      </c>
      <c r="P25" s="62">
        <f t="shared" si="6"/>
        <v>160</v>
      </c>
      <c r="Q25" s="63">
        <f t="shared" si="7"/>
        <v>54000</v>
      </c>
      <c r="R25" s="7">
        <f t="shared" si="8"/>
        <v>1386.6666666666665</v>
      </c>
      <c r="S25" s="7">
        <f t="shared" si="9"/>
        <v>1207.741935483871</v>
      </c>
      <c r="T25" s="8">
        <f t="shared" si="21"/>
        <v>1.1481481481481479</v>
      </c>
      <c r="U25" s="7">
        <f>IF(K25="","",VLOOKUP($B$6,rekenwaarden!M$8:N$12,2))</f>
        <v>8.31</v>
      </c>
      <c r="V25" s="63">
        <f t="shared" si="10"/>
        <v>1440.4</v>
      </c>
      <c r="W25" s="63">
        <f t="shared" si="11"/>
        <v>11523.199999999999</v>
      </c>
      <c r="X25" s="63">
        <f>IF(K25="","", VLOOKUP(B$6,rekenwaarden!M$8:T$12,3)*O25)</f>
        <v>6108.3846153846162</v>
      </c>
      <c r="Y25" s="63">
        <f t="shared" si="12"/>
        <v>46108.451612903234</v>
      </c>
      <c r="Z25" s="63">
        <f>IF(K25="","", VLOOKUP($B$6,rekenwaarden!M$8:T$12,4)*O25)</f>
        <v>10600</v>
      </c>
      <c r="AA25" s="63">
        <f t="shared" si="13"/>
        <v>80012.903225806454</v>
      </c>
      <c r="AB25" s="63">
        <f t="shared" si="14"/>
        <v>34585.251612903237</v>
      </c>
      <c r="AC25" s="63">
        <f t="shared" si="15"/>
        <v>4667.9846153846192</v>
      </c>
      <c r="AD25" s="63">
        <f t="shared" si="22"/>
        <v>7891.5483870967655</v>
      </c>
      <c r="AE25" s="63">
        <f t="shared" si="23"/>
        <v>891.61538461538294</v>
      </c>
      <c r="AF25" s="86">
        <f t="shared" ca="1" si="24"/>
        <v>1386.3914307692319</v>
      </c>
      <c r="AG25" s="86">
        <f t="shared" ca="1" si="25"/>
        <v>264.80976923076872</v>
      </c>
      <c r="AH25" s="86"/>
      <c r="AI25" s="86"/>
      <c r="AJ25" s="93">
        <f t="shared" ca="1" si="26"/>
        <v>1651.2012000000007</v>
      </c>
    </row>
    <row r="26" spans="3:36" x14ac:dyDescent="0.25">
      <c r="C26" s="74"/>
      <c r="D26" s="1">
        <f t="shared" si="16"/>
        <v>9</v>
      </c>
      <c r="E26" s="71" t="str">
        <f t="shared" si="17"/>
        <v>Periode 9</v>
      </c>
      <c r="F26" s="69">
        <f t="shared" si="17"/>
        <v>46615</v>
      </c>
      <c r="G26" s="69">
        <f t="shared" si="17"/>
        <v>46642</v>
      </c>
      <c r="H26" s="67">
        <f t="shared" si="18"/>
        <v>173.33333333333334</v>
      </c>
      <c r="I26" s="70">
        <f t="shared" si="19"/>
        <v>12000</v>
      </c>
      <c r="J26" s="5">
        <f t="shared" si="1"/>
        <v>40</v>
      </c>
      <c r="K26" s="69">
        <f t="shared" si="2"/>
        <v>46615</v>
      </c>
      <c r="L26" s="69">
        <f t="shared" si="3"/>
        <v>46642</v>
      </c>
      <c r="M26" s="71">
        <f t="shared" si="20"/>
        <v>28</v>
      </c>
      <c r="N26" s="72">
        <f t="shared" si="4"/>
        <v>1</v>
      </c>
      <c r="O26" s="73">
        <f t="shared" si="5"/>
        <v>7.6923076923076927E-2</v>
      </c>
      <c r="P26" s="62">
        <f t="shared" si="6"/>
        <v>160</v>
      </c>
      <c r="Q26" s="63">
        <f t="shared" si="7"/>
        <v>66000</v>
      </c>
      <c r="R26" s="7">
        <f t="shared" si="8"/>
        <v>1559.9999999999998</v>
      </c>
      <c r="S26" s="7">
        <f t="shared" si="9"/>
        <v>1367.741935483871</v>
      </c>
      <c r="T26" s="8">
        <f t="shared" si="21"/>
        <v>1.1405660377358489</v>
      </c>
      <c r="U26" s="7">
        <f>IF(K26="","",VLOOKUP($B$6,rekenwaarden!M$8:N$12,2))</f>
        <v>8.31</v>
      </c>
      <c r="V26" s="63">
        <f t="shared" si="10"/>
        <v>1440.4</v>
      </c>
      <c r="W26" s="63">
        <f t="shared" si="11"/>
        <v>12963.599999999999</v>
      </c>
      <c r="X26" s="63">
        <f>IF(K26="","", VLOOKUP(B$6,rekenwaarden!M$8:T$12,3)*O26)</f>
        <v>6108.3846153846162</v>
      </c>
      <c r="Y26" s="63">
        <f t="shared" si="12"/>
        <v>52216.836228287852</v>
      </c>
      <c r="Z26" s="63">
        <f>IF(K26="","", VLOOKUP($B$6,rekenwaarden!M$8:T$12,4)*O26)</f>
        <v>10600</v>
      </c>
      <c r="AA26" s="63">
        <f t="shared" si="13"/>
        <v>90612.903225806454</v>
      </c>
      <c r="AB26" s="63">
        <f t="shared" si="14"/>
        <v>39253.236228287853</v>
      </c>
      <c r="AC26" s="63">
        <f t="shared" si="15"/>
        <v>4667.9846153846156</v>
      </c>
      <c r="AD26" s="63">
        <f t="shared" si="22"/>
        <v>13783.163771712148</v>
      </c>
      <c r="AE26" s="63">
        <f t="shared" si="23"/>
        <v>5891.6153846153829</v>
      </c>
      <c r="AF26" s="86">
        <f t="shared" ca="1" si="24"/>
        <v>1386.3914307692307</v>
      </c>
      <c r="AG26" s="86">
        <f t="shared" ca="1" si="25"/>
        <v>1749.8097692307686</v>
      </c>
      <c r="AH26" s="86"/>
      <c r="AI26" s="86"/>
      <c r="AJ26" s="93">
        <f t="shared" ca="1" si="26"/>
        <v>3136.2011999999995</v>
      </c>
    </row>
    <row r="27" spans="3:36" x14ac:dyDescent="0.25">
      <c r="C27" s="74"/>
      <c r="D27" s="1">
        <f t="shared" si="16"/>
        <v>10</v>
      </c>
      <c r="E27" s="71" t="str">
        <f t="shared" si="17"/>
        <v>Periode 10</v>
      </c>
      <c r="F27" s="69">
        <f t="shared" si="17"/>
        <v>46643</v>
      </c>
      <c r="G27" s="69">
        <f t="shared" si="17"/>
        <v>46670</v>
      </c>
      <c r="H27" s="67">
        <f t="shared" si="18"/>
        <v>173.33333333333334</v>
      </c>
      <c r="I27" s="70">
        <f t="shared" si="19"/>
        <v>9000</v>
      </c>
      <c r="J27" s="5">
        <f t="shared" si="1"/>
        <v>40</v>
      </c>
      <c r="K27" s="69">
        <f t="shared" si="2"/>
        <v>46643</v>
      </c>
      <c r="L27" s="69">
        <f t="shared" si="3"/>
        <v>46670</v>
      </c>
      <c r="M27" s="71">
        <f t="shared" si="20"/>
        <v>28</v>
      </c>
      <c r="N27" s="72">
        <f t="shared" si="4"/>
        <v>1</v>
      </c>
      <c r="O27" s="73">
        <f t="shared" si="5"/>
        <v>7.6923076923076927E-2</v>
      </c>
      <c r="P27" s="62">
        <f t="shared" si="6"/>
        <v>160</v>
      </c>
      <c r="Q27" s="63">
        <f t="shared" si="7"/>
        <v>75000</v>
      </c>
      <c r="R27" s="7">
        <f t="shared" si="8"/>
        <v>1733.333333333333</v>
      </c>
      <c r="S27" s="7">
        <f t="shared" si="9"/>
        <v>1527.741935483871</v>
      </c>
      <c r="T27" s="8">
        <f t="shared" si="21"/>
        <v>1.1345720720720718</v>
      </c>
      <c r="U27" s="7">
        <f>IF(K27="","",VLOOKUP($B$6,rekenwaarden!M$8:N$12,2))</f>
        <v>8.31</v>
      </c>
      <c r="V27" s="63">
        <f t="shared" si="10"/>
        <v>1440.4</v>
      </c>
      <c r="W27" s="63">
        <f t="shared" si="11"/>
        <v>14403.999999999998</v>
      </c>
      <c r="X27" s="63">
        <f>IF(K27="","", VLOOKUP(B$6,rekenwaarden!M$8:T$12,3)*O27)</f>
        <v>6108.3846153846162</v>
      </c>
      <c r="Y27" s="63">
        <f t="shared" si="12"/>
        <v>58325.220843672469</v>
      </c>
      <c r="Z27" s="63">
        <f>IF(K27="","", VLOOKUP($B$6,rekenwaarden!M$8:T$12,4)*O27)</f>
        <v>10600</v>
      </c>
      <c r="AA27" s="63">
        <f t="shared" si="13"/>
        <v>101212.90322580645</v>
      </c>
      <c r="AB27" s="63">
        <f t="shared" si="14"/>
        <v>43921.220843672469</v>
      </c>
      <c r="AC27" s="63">
        <f t="shared" si="15"/>
        <v>4667.9846153846156</v>
      </c>
      <c r="AD27" s="63">
        <f t="shared" si="22"/>
        <v>16674.779156327531</v>
      </c>
      <c r="AE27" s="63">
        <f t="shared" si="23"/>
        <v>2891.6153846153829</v>
      </c>
      <c r="AF27" s="86">
        <f t="shared" ca="1" si="24"/>
        <v>1386.3914307692307</v>
      </c>
      <c r="AG27" s="86">
        <f t="shared" ca="1" si="25"/>
        <v>858.80976923076867</v>
      </c>
      <c r="AH27" s="86"/>
      <c r="AI27" s="86"/>
      <c r="AJ27" s="93">
        <f t="shared" ca="1" si="26"/>
        <v>2245.2011999999995</v>
      </c>
    </row>
    <row r="28" spans="3:36" x14ac:dyDescent="0.25">
      <c r="C28" s="74"/>
      <c r="D28" s="1">
        <f t="shared" si="16"/>
        <v>11</v>
      </c>
      <c r="E28" s="71" t="str">
        <f t="shared" si="17"/>
        <v>Periode 11</v>
      </c>
      <c r="F28" s="69">
        <f t="shared" si="17"/>
        <v>46671</v>
      </c>
      <c r="G28" s="69">
        <f t="shared" si="17"/>
        <v>46698</v>
      </c>
      <c r="H28" s="67">
        <f t="shared" si="18"/>
        <v>173.33333333333334</v>
      </c>
      <c r="I28" s="70">
        <f t="shared" si="19"/>
        <v>9500</v>
      </c>
      <c r="J28" s="5">
        <f t="shared" si="1"/>
        <v>40</v>
      </c>
      <c r="K28" s="69">
        <f t="shared" si="2"/>
        <v>46671</v>
      </c>
      <c r="L28" s="69">
        <f t="shared" si="3"/>
        <v>46698</v>
      </c>
      <c r="M28" s="71">
        <f t="shared" si="20"/>
        <v>28</v>
      </c>
      <c r="N28" s="72">
        <f t="shared" si="4"/>
        <v>1</v>
      </c>
      <c r="O28" s="73">
        <f t="shared" si="5"/>
        <v>7.6923076923076927E-2</v>
      </c>
      <c r="P28" s="62">
        <f t="shared" si="6"/>
        <v>160</v>
      </c>
      <c r="Q28" s="63">
        <f t="shared" si="7"/>
        <v>84500</v>
      </c>
      <c r="R28" s="7">
        <f t="shared" si="8"/>
        <v>1906.6666666666663</v>
      </c>
      <c r="S28" s="7">
        <f t="shared" si="9"/>
        <v>1687.741935483871</v>
      </c>
      <c r="T28" s="8">
        <f t="shared" si="21"/>
        <v>1.1297145769622832</v>
      </c>
      <c r="U28" s="7">
        <f>IF(K28="","",VLOOKUP($B$6,rekenwaarden!M$8:N$12,2))</f>
        <v>8.31</v>
      </c>
      <c r="V28" s="63">
        <f t="shared" si="10"/>
        <v>1440.4</v>
      </c>
      <c r="W28" s="63">
        <f t="shared" si="11"/>
        <v>15844.399999999998</v>
      </c>
      <c r="X28" s="63">
        <f>IF(K28="","", VLOOKUP(B$6,rekenwaarden!M$8:T$12,3)*O28)</f>
        <v>6108.3846153846162</v>
      </c>
      <c r="Y28" s="63">
        <f t="shared" si="12"/>
        <v>64433.605459057086</v>
      </c>
      <c r="Z28" s="63">
        <f>IF(K28="","", VLOOKUP($B$6,rekenwaarden!M$8:T$12,4)*O28)</f>
        <v>10600</v>
      </c>
      <c r="AA28" s="63">
        <f t="shared" si="13"/>
        <v>111812.90322580645</v>
      </c>
      <c r="AB28" s="63">
        <f t="shared" si="14"/>
        <v>48589.205459057092</v>
      </c>
      <c r="AC28" s="63">
        <f t="shared" si="15"/>
        <v>4667.9846153846229</v>
      </c>
      <c r="AD28" s="63">
        <f t="shared" si="22"/>
        <v>20066.394540942914</v>
      </c>
      <c r="AE28" s="63">
        <f t="shared" si="23"/>
        <v>3391.6153846153829</v>
      </c>
      <c r="AF28" s="86">
        <f t="shared" ca="1" si="24"/>
        <v>1386.391430769233</v>
      </c>
      <c r="AG28" s="86">
        <f t="shared" ca="1" si="25"/>
        <v>1007.3097692307687</v>
      </c>
      <c r="AH28" s="86"/>
      <c r="AI28" s="86"/>
      <c r="AJ28" s="93">
        <f t="shared" ca="1" si="26"/>
        <v>2393.7012000000018</v>
      </c>
    </row>
    <row r="29" spans="3:36" x14ac:dyDescent="0.25">
      <c r="C29" s="74"/>
      <c r="D29" s="1">
        <f t="shared" si="16"/>
        <v>12</v>
      </c>
      <c r="E29" s="71" t="str">
        <f t="shared" si="17"/>
        <v>Periode 12</v>
      </c>
      <c r="F29" s="69">
        <f t="shared" si="17"/>
        <v>46699</v>
      </c>
      <c r="G29" s="69">
        <f t="shared" si="17"/>
        <v>46726</v>
      </c>
      <c r="H29" s="67">
        <f t="shared" si="18"/>
        <v>173.33333333333334</v>
      </c>
      <c r="I29" s="70">
        <f t="shared" si="19"/>
        <v>9700</v>
      </c>
      <c r="J29" s="5">
        <f t="shared" si="1"/>
        <v>40</v>
      </c>
      <c r="K29" s="69">
        <f t="shared" si="2"/>
        <v>46699</v>
      </c>
      <c r="L29" s="69">
        <f t="shared" si="3"/>
        <v>46726</v>
      </c>
      <c r="M29" s="71">
        <f t="shared" si="20"/>
        <v>28</v>
      </c>
      <c r="N29" s="72">
        <f t="shared" si="4"/>
        <v>1</v>
      </c>
      <c r="O29" s="73">
        <f t="shared" si="5"/>
        <v>7.6923076923076927E-2</v>
      </c>
      <c r="P29" s="62">
        <f t="shared" si="6"/>
        <v>160</v>
      </c>
      <c r="Q29" s="63">
        <f t="shared" si="7"/>
        <v>94200</v>
      </c>
      <c r="R29" s="7">
        <f t="shared" si="8"/>
        <v>2079.9999999999995</v>
      </c>
      <c r="S29" s="7">
        <f t="shared" si="9"/>
        <v>1847.741935483871</v>
      </c>
      <c r="T29" s="8">
        <f t="shared" si="21"/>
        <v>1.1256983240223462</v>
      </c>
      <c r="U29" s="7">
        <f>IF(K29="","",VLOOKUP($B$6,rekenwaarden!M$8:N$12,2))</f>
        <v>8.31</v>
      </c>
      <c r="V29" s="63">
        <f t="shared" si="10"/>
        <v>1440.4</v>
      </c>
      <c r="W29" s="63">
        <f t="shared" si="11"/>
        <v>17284.8</v>
      </c>
      <c r="X29" s="63">
        <f>IF(K29="","", VLOOKUP(B$6,rekenwaarden!M$8:T$12,3)*O29)</f>
        <v>6108.3846153846162</v>
      </c>
      <c r="Y29" s="63">
        <f t="shared" si="12"/>
        <v>70541.990074441695</v>
      </c>
      <c r="Z29" s="63">
        <f>IF(K29="","", VLOOKUP($B$6,rekenwaarden!M$8:T$12,4)*O29)</f>
        <v>10600</v>
      </c>
      <c r="AA29" s="63">
        <f t="shared" si="13"/>
        <v>122412.90322580645</v>
      </c>
      <c r="AB29" s="63">
        <f t="shared" si="14"/>
        <v>53257.190074441693</v>
      </c>
      <c r="AC29" s="63">
        <f t="shared" si="15"/>
        <v>4667.9846153846011</v>
      </c>
      <c r="AD29" s="63">
        <f t="shared" si="22"/>
        <v>23658.009925558305</v>
      </c>
      <c r="AE29" s="63">
        <f t="shared" si="23"/>
        <v>3591.6153846153902</v>
      </c>
      <c r="AF29" s="86">
        <f t="shared" ca="1" si="24"/>
        <v>1386.3914307692264</v>
      </c>
      <c r="AG29" s="86">
        <f t="shared" ca="1" si="25"/>
        <v>1066.7097692307709</v>
      </c>
      <c r="AH29" s="86"/>
      <c r="AI29" s="86"/>
      <c r="AJ29" s="93">
        <f t="shared" ca="1" si="26"/>
        <v>2453.1011999999973</v>
      </c>
    </row>
    <row r="30" spans="3:36" ht="13" thickBot="1" x14ac:dyDescent="0.3">
      <c r="C30" s="74"/>
      <c r="D30" s="75">
        <f t="shared" si="16"/>
        <v>13</v>
      </c>
      <c r="E30" s="10" t="str">
        <f t="shared" si="17"/>
        <v>Periode 13</v>
      </c>
      <c r="F30" s="9">
        <f t="shared" si="17"/>
        <v>46727</v>
      </c>
      <c r="G30" s="9">
        <f t="shared" si="17"/>
        <v>46752</v>
      </c>
      <c r="H30" s="97">
        <f t="shared" si="18"/>
        <v>0</v>
      </c>
      <c r="I30" s="98">
        <f t="shared" si="19"/>
        <v>0</v>
      </c>
      <c r="J30" s="99">
        <f t="shared" si="1"/>
        <v>40</v>
      </c>
      <c r="K30" s="9">
        <f t="shared" si="2"/>
        <v>46727</v>
      </c>
      <c r="L30" s="9">
        <f t="shared" si="3"/>
        <v>46752</v>
      </c>
      <c r="M30" s="10">
        <f t="shared" si="20"/>
        <v>26</v>
      </c>
      <c r="N30" s="11">
        <f t="shared" si="4"/>
        <v>1</v>
      </c>
      <c r="O30" s="12">
        <f t="shared" si="5"/>
        <v>7.6923076923076927E-2</v>
      </c>
      <c r="P30" s="13">
        <f t="shared" si="6"/>
        <v>160</v>
      </c>
      <c r="Q30" s="87">
        <f t="shared" si="7"/>
        <v>94200</v>
      </c>
      <c r="R30" s="14">
        <f t="shared" si="8"/>
        <v>2079.9999999999995</v>
      </c>
      <c r="S30" s="14">
        <f t="shared" si="9"/>
        <v>2007.741935483871</v>
      </c>
      <c r="T30" s="95">
        <f t="shared" si="21"/>
        <v>1.0359897172236501</v>
      </c>
      <c r="U30" s="14">
        <f>IF(K30="","",VLOOKUP($B$6,rekenwaarden!M$8:N$12,2))</f>
        <v>8.31</v>
      </c>
      <c r="V30" s="87">
        <f t="shared" si="10"/>
        <v>0</v>
      </c>
      <c r="W30" s="87">
        <f t="shared" si="11"/>
        <v>17284.8</v>
      </c>
      <c r="X30" s="87">
        <f>IF(K30="","", VLOOKUP(B$6,rekenwaarden!M$8:T$12,3)*O30)</f>
        <v>6108.3846153846162</v>
      </c>
      <c r="Y30" s="87">
        <f t="shared" si="12"/>
        <v>76650.374689826305</v>
      </c>
      <c r="Z30" s="87">
        <f>IF(K30="","", VLOOKUP($B$6,rekenwaarden!M$8:T$12,4)*O30)</f>
        <v>10600</v>
      </c>
      <c r="AA30" s="87">
        <f t="shared" si="13"/>
        <v>133012.90322580645</v>
      </c>
      <c r="AB30" s="87">
        <f t="shared" si="14"/>
        <v>59365.574689826302</v>
      </c>
      <c r="AC30" s="87">
        <f t="shared" si="15"/>
        <v>6108.3846153846098</v>
      </c>
      <c r="AD30" s="87">
        <f t="shared" si="22"/>
        <v>17549.625310173695</v>
      </c>
      <c r="AE30" s="87">
        <f t="shared" si="23"/>
        <v>-6108.3846153846098</v>
      </c>
      <c r="AF30" s="88">
        <f t="shared" ca="1" si="24"/>
        <v>1814.1902307692289</v>
      </c>
      <c r="AG30" s="88">
        <f t="shared" ca="1" si="25"/>
        <v>-1814.1902307692289</v>
      </c>
      <c r="AH30" s="88"/>
      <c r="AI30" s="88"/>
      <c r="AJ30" s="94">
        <f t="shared" ca="1" si="26"/>
        <v>0</v>
      </c>
    </row>
    <row r="31" spans="3:36" ht="13" thickTop="1" x14ac:dyDescent="0.25"/>
  </sheetData>
  <protectedRanges>
    <protectedRange algorithmName="SHA-512" hashValue="XWqXE5y7ud9C/cNOMQiriu88QX5Yy1lrleFAN7oJKKkNVT+uzJ6h7KtAxzO/B3O0E+c9Y+GFFtGwYi0q+W0Ygg==" saltValue="JmBrNhhh+xIagHjXqjMNSQ==" spinCount="100000" sqref="B6:C6 J18:J30" name="Aantepassenvelden"/>
    <protectedRange algorithmName="SHA-512" hashValue="XWqXE5y7ud9C/cNOMQiriu88QX5Yy1lrleFAN7oJKKkNVT+uzJ6h7KtAxzO/B3O0E+c9Y+GFFtGwYi0q+W0Ygg==" saltValue="JmBrNhhh+xIagHjXqjMNSQ==" spinCount="100000" sqref="H18:I30" name="Aantepassenvelden_1"/>
  </protectedRanges>
  <mergeCells count="2">
    <mergeCell ref="H16:I16"/>
    <mergeCell ref="D17:E17"/>
  </mergeCells>
  <dataValidations count="7">
    <dataValidation type="list" allowBlank="1" showInputMessage="1" showErrorMessage="1" sqref="K2:K14" xr:uid="{0B9E5E2B-AC80-4D34-B8F1-5A9663698D4A}">
      <formula1>Code_Reden_Einde_Arbeidsverhouding</formula1>
    </dataValidation>
    <dataValidation type="list" allowBlank="1" showInputMessage="1" showErrorMessage="1" sqref="M2:M14" xr:uid="{3D75C3D9-1F9A-49CD-B0B9-A37435AA7E36}">
      <formula1>Code_Aard_Arbeidsverhouding</formula1>
    </dataValidation>
    <dataValidation type="list" allowBlank="1" showInputMessage="1" showErrorMessage="1" sqref="L2:L14" xr:uid="{0FED7ABD-2AAA-4F1E-8AAD-E7CB0F1C07EA}">
      <formula1>Code_Soort_IKV</formula1>
    </dataValidation>
    <dataValidation type="list" allowBlank="1" showInputMessage="1" showErrorMessage="1" sqref="C2" xr:uid="{72E65D38-00A8-49AD-9ACB-2244FF4D3937}">
      <formula1>"maandelijks,vierwekelijks"</formula1>
    </dataValidation>
    <dataValidation type="list" allowBlank="1" showInputMessage="1" showErrorMessage="1" sqref="B1:C1" xr:uid="{739D5E27-6FCC-4042-B9C0-6915737E8CA8}">
      <formula1>"2027,2028"</formula1>
    </dataValidation>
    <dataValidation type="list" allowBlank="1" showInputMessage="1" showErrorMessage="1" sqref="B8:C8" xr:uid="{C176F8DF-6F08-4D60-BA1A-BA632C57CD58}">
      <formula1>"WAAR,NIET WAAR"</formula1>
    </dataValidation>
    <dataValidation type="list" allowBlank="1" showInputMessage="1" showErrorMessage="1" sqref="B2" xr:uid="{1A52B6DE-3DF5-48D4-9676-FAA1CF827861}">
      <formula1>"Maandelijks,Vierwekelijks"</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A037AC05-7734-4F09-B2DB-EE23FC98CBE0}">
          <x14:formula1>
            <xm:f>rekenwaarden!$M$8:$M$12</xm:f>
          </x14:formula1>
          <xm:sqref>B6:C6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D915E-EE3D-4E10-8226-687BF274E909}">
  <sheetPr>
    <tabColor theme="4" tint="0.39997558519241921"/>
  </sheetPr>
  <dimension ref="A1:AL30"/>
  <sheetViews>
    <sheetView showGridLines="0" zoomScale="90" zoomScaleNormal="90" workbookViewId="0">
      <pane xSplit="2" ySplit="30" topLeftCell="C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179687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8.1796875" customWidth="1"/>
    <col min="22" max="33" width="15.81640625" customWidth="1"/>
    <col min="34" max="34" width="19.453125" bestFit="1" customWidth="1"/>
    <col min="35" max="35" width="20.453125" customWidth="1"/>
    <col min="36" max="36" width="12.81640625" bestFit="1"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210" t="s">
        <v>18</v>
      </c>
      <c r="W1" s="211" t="s">
        <v>71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IF(OR(Datum_Einde_IKV="",Tabel135361516[[#This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IF(Tabel135361516[[#This Row],[Inkomsten-periode]]="","",DATEDIF(Geboortedatum,Tabel135361516[[#This Row],[DatEindTv]],"Y"))</f>
        <v>33</v>
      </c>
      <c r="I2" s="146">
        <f>IF(Tabel135361516[[#This Row],[Inkomsten-periode]]="","",IF(Datum_Aanvang_IKV="","",Datum_Aanvang_IKV))</f>
        <v>45658</v>
      </c>
      <c r="J2" s="146" t="str">
        <f>IF(Tabel135361516[[#This Row],[Inkomsten-periode]]="","",IF(Datum_Einde_IKV="","",IF(Datum_Einde_IKV&lt;=Tabel135361516[[#This Row],[DatEindTv]],Datum_Einde_IKV,"")))</f>
        <v/>
      </c>
      <c r="K2" s="138"/>
      <c r="L2" s="138">
        <v>15</v>
      </c>
      <c r="M2" s="138">
        <v>1</v>
      </c>
      <c r="N2" s="139">
        <v>173</v>
      </c>
      <c r="O2" s="140">
        <v>4320</v>
      </c>
      <c r="P2" s="140">
        <v>320</v>
      </c>
      <c r="Q2" s="140">
        <v>320</v>
      </c>
      <c r="R2" s="140">
        <v>0</v>
      </c>
      <c r="S2" s="140">
        <v>0</v>
      </c>
      <c r="T2" s="140">
        <v>4320</v>
      </c>
      <c r="U2" s="140"/>
      <c r="V2" s="184">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Row],[OpnAvwb]],0))))</f>
        <v>4320</v>
      </c>
      <c r="W2" s="185">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Row],[AantVerlU]],0))))</f>
        <v>173</v>
      </c>
      <c r="X2" s="184"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f>
        <v/>
      </c>
      <c r="Y2" s="185"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f>
        <v/>
      </c>
    </row>
    <row r="3" spans="1:38" s="113" customFormat="1" ht="16.399999999999999" customHeight="1" x14ac:dyDescent="0.25">
      <c r="A3" s="122" t="s">
        <v>21</v>
      </c>
      <c r="B3" s="133">
        <v>34162</v>
      </c>
      <c r="C3" s="202"/>
      <c r="D3" s="145">
        <f>IF(OR(Datum_Einde_IKV&gt;G2,Datum_Einde_IKV=""),IF(AND($B$2="Maandelijks", COUNTIF($D$1:D2, 12)=1), "",IF(OR(AND($B$2="Maandelijks", D2=12),AND($B$2="Vierwekelijks", D2=13), D2 = "Periode"), 1, D2+1)),"")</f>
        <v>2</v>
      </c>
      <c r="E3" s="145" t="str">
        <f>IF(OR(Datum_Einde_IKV="",Tabel135361516[[#This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IF(Tabel135361516[[#This Row],[Inkomsten-periode]]="","",DATEDIF(Geboortedatum,Tabel135361516[[#This Row],[DatEindTv]],"Y"))</f>
        <v>33</v>
      </c>
      <c r="I3" s="146">
        <f>IF(Tabel135361516[[#This Row],[Inkomsten-periode]]="","",IF(Datum_Aanvang_IKV="","",Datum_Aanvang_IKV))</f>
        <v>45658</v>
      </c>
      <c r="J3" s="146" t="str">
        <f>IF(Tabel135361516[[#This Row],[Inkomsten-periode]]="","",IF(Datum_Einde_IKV="","",IF(Datum_Einde_IKV&lt;=Tabel135361516[[#This Row],[DatEindTv]],Datum_Einde_IKV,"")))</f>
        <v/>
      </c>
      <c r="K3" s="141"/>
      <c r="L3" s="141">
        <v>15</v>
      </c>
      <c r="M3" s="141">
        <v>1</v>
      </c>
      <c r="N3" s="142">
        <v>173</v>
      </c>
      <c r="O3" s="143">
        <v>4320</v>
      </c>
      <c r="P3" s="143">
        <v>320</v>
      </c>
      <c r="Q3" s="143">
        <v>320</v>
      </c>
      <c r="R3" s="143">
        <v>0</v>
      </c>
      <c r="S3" s="143">
        <v>0</v>
      </c>
      <c r="T3" s="143">
        <v>4320</v>
      </c>
      <c r="U3" s="143"/>
      <c r="V3" s="184">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Row],[OpnAvwb]],0))))</f>
        <v>4320</v>
      </c>
      <c r="W3" s="186">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Row],[AantVerlU]],0))))</f>
        <v>173</v>
      </c>
      <c r="X3" s="184"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f>
        <v/>
      </c>
      <c r="Y3" s="186"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f>
        <v/>
      </c>
    </row>
    <row r="4" spans="1:38" s="113" customFormat="1" ht="16.399999999999999" customHeight="1" x14ac:dyDescent="0.25">
      <c r="A4" s="122" t="s">
        <v>22</v>
      </c>
      <c r="B4" s="134">
        <v>45658</v>
      </c>
      <c r="C4" s="202"/>
      <c r="D4" s="144">
        <f>IF(OR(Datum_Einde_IKV&gt;G3,Datum_Einde_IKV=""),IF(AND($B$2="Maandelijks", COUNTIF($D$1:D3, 12)=1), "",IF(OR(AND($B$2="Maandelijks", D3=12),AND($B$2="Vierwekelijks", D3=13), D3 = "Periode"), 1, D3+1)),"")</f>
        <v>3</v>
      </c>
      <c r="E4" s="145" t="str">
        <f>IF(OR(Datum_Einde_IKV="",Tabel135361516[[#This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IF(Tabel135361516[[#This Row],[Inkomsten-periode]]="","",DATEDIF(Geboortedatum,Tabel135361516[[#This Row],[DatEindTv]],"Y"))</f>
        <v>33</v>
      </c>
      <c r="I4" s="146">
        <f>IF(Tabel135361516[[#This Row],[Inkomsten-periode]]="","",IF(Datum_Aanvang_IKV="","",Datum_Aanvang_IKV))</f>
        <v>45658</v>
      </c>
      <c r="J4" s="146" t="str">
        <f>IF(Tabel135361516[[#This Row],[Inkomsten-periode]]="","",IF(Datum_Einde_IKV="","",IF(Datum_Einde_IKV&lt;=Tabel135361516[[#This Row],[DatEindTv]],Datum_Einde_IKV,"")))</f>
        <v/>
      </c>
      <c r="K4" s="138"/>
      <c r="L4" s="138">
        <v>15</v>
      </c>
      <c r="M4" s="138">
        <v>1</v>
      </c>
      <c r="N4" s="139">
        <v>173</v>
      </c>
      <c r="O4" s="140">
        <v>4320</v>
      </c>
      <c r="P4" s="140">
        <v>320</v>
      </c>
      <c r="Q4" s="140">
        <v>320</v>
      </c>
      <c r="R4" s="140">
        <v>0</v>
      </c>
      <c r="S4" s="140">
        <v>0</v>
      </c>
      <c r="T4" s="140">
        <v>4320</v>
      </c>
      <c r="U4" s="140"/>
      <c r="V4" s="184">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Row],[OpnAvwb]],0))))</f>
        <v>4320</v>
      </c>
      <c r="W4" s="186">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Row],[AantVerlU]],0))))</f>
        <v>173</v>
      </c>
      <c r="X4" s="184"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f>
        <v/>
      </c>
      <c r="Y4" s="186"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f>
        <v/>
      </c>
    </row>
    <row r="5" spans="1:38" s="113" customFormat="1" ht="16.399999999999999" customHeight="1" x14ac:dyDescent="0.25">
      <c r="A5" s="122" t="s">
        <v>23</v>
      </c>
      <c r="B5" s="133"/>
      <c r="C5" s="202"/>
      <c r="D5" s="145">
        <f>IF(OR(Datum_Einde_IKV&gt;G4,Datum_Einde_IKV=""),IF(AND($B$2="Maandelijks", COUNTIF($D$1:D4, 12)=1), "",IF(OR(AND($B$2="Maandelijks", D4=12),AND($B$2="Vierwekelijks", D4=13), D4 = "Periode"), 1, D4+1)),"")</f>
        <v>4</v>
      </c>
      <c r="E5" s="145" t="str">
        <f>IF(OR(Datum_Einde_IKV="",Tabel135361516[[#This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IF(Tabel135361516[[#This Row],[Inkomsten-periode]]="","",DATEDIF(Geboortedatum,Tabel135361516[[#This Row],[DatEindTv]],"Y"))</f>
        <v>33</v>
      </c>
      <c r="I5" s="146">
        <f>IF(Tabel135361516[[#This Row],[Inkomsten-periode]]="","",IF(Datum_Aanvang_IKV="","",Datum_Aanvang_IKV))</f>
        <v>45658</v>
      </c>
      <c r="J5" s="146" t="str">
        <f>IF(Tabel135361516[[#This Row],[Inkomsten-periode]]="","",IF(Datum_Einde_IKV="","",IF(Datum_Einde_IKV&lt;=Tabel135361516[[#This Row],[DatEindTv]],Datum_Einde_IKV,"")))</f>
        <v/>
      </c>
      <c r="K5" s="141"/>
      <c r="L5" s="141">
        <v>15</v>
      </c>
      <c r="M5" s="141">
        <v>1</v>
      </c>
      <c r="N5" s="142">
        <v>173</v>
      </c>
      <c r="O5" s="143">
        <v>4320</v>
      </c>
      <c r="P5" s="143">
        <v>320</v>
      </c>
      <c r="Q5" s="143">
        <v>320</v>
      </c>
      <c r="R5" s="143">
        <v>0</v>
      </c>
      <c r="S5" s="143">
        <v>0</v>
      </c>
      <c r="T5" s="143">
        <v>4320</v>
      </c>
      <c r="U5" s="143"/>
      <c r="V5" s="184">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Row],[OpnAvwb]],0))))</f>
        <v>4320</v>
      </c>
      <c r="W5" s="186">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Row],[AantVerlU]],0))))</f>
        <v>173</v>
      </c>
      <c r="X5" s="184"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f>
        <v/>
      </c>
      <c r="Y5" s="186"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f>
        <v/>
      </c>
    </row>
    <row r="6" spans="1:38" s="113" customFormat="1" ht="16.399999999999999" customHeight="1" x14ac:dyDescent="0.25">
      <c r="A6" s="122" t="s">
        <v>24</v>
      </c>
      <c r="B6" s="135" t="s">
        <v>180</v>
      </c>
      <c r="C6" s="203"/>
      <c r="D6" s="144">
        <f>IF(OR(Datum_Einde_IKV&gt;G5,Datum_Einde_IKV=""),IF(AND($B$2="Maandelijks", COUNTIF($D$1:D5, 12)=1), "",IF(OR(AND($B$2="Maandelijks", D5=12),AND($B$2="Vierwekelijks", D5=13), D5 = "Periode"), 1, D5+1)),"")</f>
        <v>5</v>
      </c>
      <c r="E6" s="145" t="str">
        <f>IF(OR(Datum_Einde_IKV="",Tabel135361516[[#This Row],[DatAanvTv]]&lt;Datum_Einde_IKV),IF(E5="december","",IF(Verloningsperiodiciteit="maandelijks",rekenwaarden!F7,_xlfn.CONCAT("Periode ",rekenwaarden!E7))),"")</f>
        <v>mei</v>
      </c>
      <c r="F6" s="146">
        <f t="shared" si="0"/>
        <v>46508</v>
      </c>
      <c r="G6" s="146">
        <f>IF(F6="", "", IF(Verloningsperiodiciteit="Vierwekelijks", _xlfn.XLOOKUP(F6,rekenwaarden!$C$3:$C$54,rekenwaarden!$D$3:$D$54,"niet gevonden",-1), _xlfn.XLOOKUP(F6,rekenwaarden!$I$3:$I$54,rekenwaarden!$J$3:$J$54,"niet gevonden",-1)))</f>
        <v>46538</v>
      </c>
      <c r="H6" s="147">
        <f>IF(Tabel135361516[[#This Row],[Inkomsten-periode]]="","",DATEDIF(Geboortedatum,Tabel135361516[[#This Row],[DatEindTv]],"Y"))</f>
        <v>33</v>
      </c>
      <c r="I6" s="146">
        <f>IF(Tabel135361516[[#This Row],[Inkomsten-periode]]="","",IF(Datum_Aanvang_IKV="","",Datum_Aanvang_IKV))</f>
        <v>45658</v>
      </c>
      <c r="J6" s="146" t="str">
        <f>IF(Tabel135361516[[#This Row],[Inkomsten-periode]]="","",IF(Datum_Einde_IKV="","",IF(Datum_Einde_IKV&lt;=Tabel135361516[[#This Row],[DatEindTv]],Datum_Einde_IKV,"")))</f>
        <v/>
      </c>
      <c r="K6" s="138"/>
      <c r="L6" s="138">
        <v>15</v>
      </c>
      <c r="M6" s="138">
        <v>1</v>
      </c>
      <c r="N6" s="139">
        <v>173</v>
      </c>
      <c r="O6" s="140">
        <v>4320</v>
      </c>
      <c r="P6" s="140">
        <v>320</v>
      </c>
      <c r="Q6" s="140">
        <v>320</v>
      </c>
      <c r="R6" s="140">
        <v>0</v>
      </c>
      <c r="S6" s="140">
        <v>0</v>
      </c>
      <c r="T6" s="140">
        <v>4320</v>
      </c>
      <c r="U6" s="140"/>
      <c r="V6" s="184">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Row],[OpnAvwb]],0))))</f>
        <v>4320</v>
      </c>
      <c r="W6" s="186">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Row],[AantVerlU]],0))))</f>
        <v>173</v>
      </c>
      <c r="X6" s="184"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f>
        <v/>
      </c>
      <c r="Y6" s="186"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f>
        <v/>
      </c>
    </row>
    <row r="7" spans="1:38" s="113" customFormat="1" ht="16.399999999999999" customHeight="1" x14ac:dyDescent="0.25">
      <c r="A7" s="122" t="s">
        <v>26</v>
      </c>
      <c r="B7" s="136">
        <f>VLOOKUP(B6,rekenwaarden!M8:T12,8)</f>
        <v>40</v>
      </c>
      <c r="C7" s="204"/>
      <c r="D7" s="145">
        <f>IF(OR(Datum_Einde_IKV&gt;G6,Datum_Einde_IKV=""),IF(AND($B$2="Maandelijks", COUNTIF($D$1:D6, 12)=1), "",IF(OR(AND($B$2="Maandelijks", D6=12),AND($B$2="Vierwekelijks", D6=13), D6 = "Periode"), 1, D6+1)),"")</f>
        <v>6</v>
      </c>
      <c r="E7" s="145" t="str">
        <f>IF(OR(Datum_Einde_IKV="",Tabel135361516[[#This Row],[DatAanvTv]]&lt;Datum_Einde_IKV),IF(E6="december","",IF(Verloningsperiodiciteit="maandelijks",rekenwaarden!F8,_xlfn.CONCAT("Periode ",rekenwaarden!E8))),"")</f>
        <v>juni</v>
      </c>
      <c r="F7" s="146">
        <f t="shared" si="0"/>
        <v>46539</v>
      </c>
      <c r="G7" s="146">
        <f>IF(F7="", "", IF(Verloningsperiodiciteit="Vierwekelijks", _xlfn.XLOOKUP(F7,rekenwaarden!$C$3:$C$54,rekenwaarden!$D$3:$D$54,"niet gevonden",-1), _xlfn.XLOOKUP(F7,rekenwaarden!$I$3:$I$54,rekenwaarden!$J$3:$J$54,"niet gevonden",-1)))</f>
        <v>46568</v>
      </c>
      <c r="H7" s="147">
        <f>IF(Tabel135361516[[#This Row],[Inkomsten-periode]]="","",DATEDIF(Geboortedatum,Tabel135361516[[#This Row],[DatEindTv]],"Y"))</f>
        <v>33</v>
      </c>
      <c r="I7" s="146">
        <f>IF(Tabel135361516[[#This Row],[Inkomsten-periode]]="","",IF(Datum_Aanvang_IKV="","",Datum_Aanvang_IKV))</f>
        <v>45658</v>
      </c>
      <c r="J7" s="146" t="str">
        <f>IF(Tabel135361516[[#This Row],[Inkomsten-periode]]="","",IF(Datum_Einde_IKV="","",IF(Datum_Einde_IKV&lt;=Tabel135361516[[#This Row],[DatEindTv]],Datum_Einde_IKV,"")))</f>
        <v/>
      </c>
      <c r="K7" s="141"/>
      <c r="L7" s="141">
        <v>15</v>
      </c>
      <c r="M7" s="141">
        <v>1</v>
      </c>
      <c r="N7" s="142">
        <v>173</v>
      </c>
      <c r="O7" s="143">
        <v>4320</v>
      </c>
      <c r="P7" s="143">
        <v>320</v>
      </c>
      <c r="Q7" s="143">
        <v>320</v>
      </c>
      <c r="R7" s="143">
        <v>0</v>
      </c>
      <c r="S7" s="143">
        <v>0</v>
      </c>
      <c r="T7" s="143">
        <v>4320</v>
      </c>
      <c r="U7" s="143"/>
      <c r="V7" s="184">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Row],[OpnAvwb]],0))))</f>
        <v>4320</v>
      </c>
      <c r="W7" s="186">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Row],[AantVerlU]],0))))</f>
        <v>173</v>
      </c>
      <c r="X7" s="184"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f>
        <v/>
      </c>
      <c r="Y7" s="186"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f>
        <v/>
      </c>
    </row>
    <row r="8" spans="1:38" s="113" customFormat="1" ht="16.399999999999999" customHeight="1" x14ac:dyDescent="0.25">
      <c r="A8" s="122" t="s">
        <v>27</v>
      </c>
      <c r="B8" s="137" t="b">
        <v>1</v>
      </c>
      <c r="C8" s="202"/>
      <c r="D8" s="144">
        <f>IF(OR(Datum_Einde_IKV&gt;G7,Datum_Einde_IKV=""),IF(AND($B$2="Maandelijks", COUNTIF($D$1:D7, 12)=1), "",IF(OR(AND($B$2="Maandelijks", D7=12),AND($B$2="Vierwekelijks", D7=13), D7 = "Periode"), 1, D7+1)),"")</f>
        <v>7</v>
      </c>
      <c r="E8" s="145" t="str">
        <f>IF(OR(Datum_Einde_IKV="",Tabel135361516[[#This Row],[DatAanvTv]]&lt;Datum_Einde_IKV),IF(E7="december","",IF(Verloningsperiodiciteit="maandelijks",rekenwaarden!F9,_xlfn.CONCAT("Periode ",rekenwaarden!E9))),"")</f>
        <v>juli</v>
      </c>
      <c r="F8" s="146">
        <f t="shared" si="0"/>
        <v>46569</v>
      </c>
      <c r="G8" s="146">
        <f>IF(F8="", "", IF(Verloningsperiodiciteit="Vierwekelijks", _xlfn.XLOOKUP(F8,rekenwaarden!$C$3:$C$54,rekenwaarden!$D$3:$D$54,"niet gevonden",-1), _xlfn.XLOOKUP(F8,rekenwaarden!$I$3:$I$54,rekenwaarden!$J$3:$J$54,"niet gevonden",-1)))</f>
        <v>46599</v>
      </c>
      <c r="H8" s="147">
        <f>IF(Tabel135361516[[#This Row],[Inkomsten-periode]]="","",DATEDIF(Geboortedatum,Tabel135361516[[#This Row],[DatEindTv]],"Y"))</f>
        <v>34</v>
      </c>
      <c r="I8" s="146">
        <f>IF(Tabel135361516[[#This Row],[Inkomsten-periode]]="","",IF(Datum_Aanvang_IKV="","",Datum_Aanvang_IKV))</f>
        <v>45658</v>
      </c>
      <c r="J8" s="146" t="str">
        <f>IF(Tabel135361516[[#This Row],[Inkomsten-periode]]="","",IF(Datum_Einde_IKV="","",IF(Datum_Einde_IKV&lt;=Tabel135361516[[#This Row],[DatEindTv]],Datum_Einde_IKV,"")))</f>
        <v/>
      </c>
      <c r="K8" s="138"/>
      <c r="L8" s="138">
        <v>15</v>
      </c>
      <c r="M8" s="138">
        <v>1</v>
      </c>
      <c r="N8" s="139">
        <f>173+40</f>
        <v>213</v>
      </c>
      <c r="O8" s="140">
        <f>4320+40*25*1.3</f>
        <v>5620</v>
      </c>
      <c r="P8" s="140">
        <v>320</v>
      </c>
      <c r="Q8" s="140">
        <v>320</v>
      </c>
      <c r="R8" s="140">
        <v>0</v>
      </c>
      <c r="S8" s="140">
        <v>0</v>
      </c>
      <c r="T8" s="140">
        <v>5620</v>
      </c>
      <c r="U8" s="140"/>
      <c r="V8" s="184">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Row],[OpnAvwb]],0))))</f>
        <v>5620</v>
      </c>
      <c r="W8" s="186">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Row],[AantVerlU]],0))))</f>
        <v>213</v>
      </c>
      <c r="X8" s="184"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f>
        <v/>
      </c>
      <c r="Y8" s="186"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f>
        <v/>
      </c>
    </row>
    <row r="9" spans="1:38" s="113" customFormat="1" ht="16.399999999999999" customHeight="1" x14ac:dyDescent="0.25">
      <c r="A9" s="122"/>
      <c r="B9" s="131"/>
      <c r="C9" s="200"/>
      <c r="D9" s="145">
        <f>IF(OR(Datum_Einde_IKV&gt;G8,Datum_Einde_IKV=""),IF(AND($B$2="Maandelijks", COUNTIF($D$1:D8, 12)=1), "",IF(OR(AND($B$2="Maandelijks", D8=12),AND($B$2="Vierwekelijks", D8=13), D8 = "Periode"), 1, D8+1)),"")</f>
        <v>8</v>
      </c>
      <c r="E9" s="145" t="str">
        <f>IF(OR(Datum_Einde_IKV="",Tabel135361516[[#This Row],[DatAanvTv]]&lt;Datum_Einde_IKV),IF(E8="december","",IF(Verloningsperiodiciteit="maandelijks",rekenwaarden!F10,_xlfn.CONCAT("Periode ",rekenwaarden!E10))),"")</f>
        <v>augustus</v>
      </c>
      <c r="F9" s="146">
        <f t="shared" si="0"/>
        <v>46600</v>
      </c>
      <c r="G9" s="146">
        <f>IF(F9="", "", IF(Verloningsperiodiciteit="Vierwekelijks", _xlfn.XLOOKUP(F9,rekenwaarden!$C$3:$C$54,rekenwaarden!$D$3:$D$54,"niet gevonden",-1), _xlfn.XLOOKUP(F9,rekenwaarden!$I$3:$I$54,rekenwaarden!$J$3:$J$54,"niet gevonden",-1)))</f>
        <v>46630</v>
      </c>
      <c r="H9" s="147">
        <f>IF(Tabel135361516[[#This Row],[Inkomsten-periode]]="","",DATEDIF(Geboortedatum,Tabel135361516[[#This Row],[DatEindTv]],"Y"))</f>
        <v>34</v>
      </c>
      <c r="I9" s="146">
        <f>IF(Tabel135361516[[#This Row],[Inkomsten-periode]]="","",IF(Datum_Aanvang_IKV="","",Datum_Aanvang_IKV))</f>
        <v>45658</v>
      </c>
      <c r="J9" s="146" t="str">
        <f>IF(Tabel135361516[[#This Row],[Inkomsten-periode]]="","",IF(Datum_Einde_IKV="","",IF(Datum_Einde_IKV&lt;=Tabel135361516[[#This Row],[DatEindTv]],Datum_Einde_IKV,"")))</f>
        <v/>
      </c>
      <c r="K9" s="141"/>
      <c r="L9" s="141">
        <v>15</v>
      </c>
      <c r="M9" s="141">
        <v>1</v>
      </c>
      <c r="N9" s="142">
        <f>173+40</f>
        <v>213</v>
      </c>
      <c r="O9" s="143">
        <v>5620</v>
      </c>
      <c r="P9" s="143">
        <v>320</v>
      </c>
      <c r="Q9" s="143">
        <v>320</v>
      </c>
      <c r="R9" s="143">
        <v>0</v>
      </c>
      <c r="S9" s="143">
        <v>0</v>
      </c>
      <c r="T9" s="143">
        <v>5620</v>
      </c>
      <c r="U9" s="143"/>
      <c r="V9" s="184">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Row],[OpnAvwb]],0))))</f>
        <v>5620</v>
      </c>
      <c r="W9" s="186">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Row],[AantVerlU]],0))))</f>
        <v>213</v>
      </c>
      <c r="X9" s="184"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f>
        <v/>
      </c>
      <c r="Y9" s="186"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f>
        <v/>
      </c>
    </row>
    <row r="10" spans="1:38" s="113" customFormat="1" ht="16.399999999999999" customHeight="1" thickBot="1" x14ac:dyDescent="0.3">
      <c r="A10" s="200"/>
      <c r="B10" s="200"/>
      <c r="C10" s="200"/>
      <c r="D10" s="144">
        <f>IF(OR(Datum_Einde_IKV&gt;G9,Datum_Einde_IKV=""),IF(AND($B$2="Maandelijks", COUNTIF($D$1:D9, 12)=1), "",IF(OR(AND($B$2="Maandelijks", D9=12),AND($B$2="Vierwekelijks", D9=13), D9 = "Periode"), 1, D9+1)),"")</f>
        <v>9</v>
      </c>
      <c r="E10" s="145" t="str">
        <f>IF(OR(Datum_Einde_IKV="",Tabel135361516[[#This Row],[DatAanvTv]]&lt;Datum_Einde_IKV),IF(E9="december","",IF(Verloningsperiodiciteit="maandelijks",rekenwaarden!F11,_xlfn.CONCAT("Periode ",rekenwaarden!E11))),"")</f>
        <v>september</v>
      </c>
      <c r="F10" s="146">
        <f t="shared" si="0"/>
        <v>46631</v>
      </c>
      <c r="G10" s="146">
        <f>IF(F10="", "", IF(Verloningsperiodiciteit="Vierwekelijks", _xlfn.XLOOKUP(F10,rekenwaarden!$C$3:$C$54,rekenwaarden!$D$3:$D$54,"niet gevonden",-1), _xlfn.XLOOKUP(F10,rekenwaarden!$I$3:$I$54,rekenwaarden!$J$3:$J$54,"niet gevonden",-1)))</f>
        <v>46660</v>
      </c>
      <c r="H10" s="147">
        <f>IF(Tabel135361516[[#This Row],[Inkomsten-periode]]="","",DATEDIF(Geboortedatum,Tabel135361516[[#This Row],[DatEindTv]],"Y"))</f>
        <v>34</v>
      </c>
      <c r="I10" s="146">
        <f>IF(Tabel135361516[[#This Row],[Inkomsten-periode]]="","",IF(Datum_Aanvang_IKV="","",Datum_Aanvang_IKV))</f>
        <v>45658</v>
      </c>
      <c r="J10" s="146" t="str">
        <f>IF(Tabel135361516[[#This Row],[Inkomsten-periode]]="","",IF(Datum_Einde_IKV="","",IF(Datum_Einde_IKV&lt;=Tabel135361516[[#This Row],[DatEindTv]],Datum_Einde_IKV,"")))</f>
        <v/>
      </c>
      <c r="K10" s="138"/>
      <c r="L10" s="138">
        <v>15</v>
      </c>
      <c r="M10" s="138">
        <v>1</v>
      </c>
      <c r="N10" s="139">
        <v>173</v>
      </c>
      <c r="O10" s="140">
        <v>4320</v>
      </c>
      <c r="P10" s="140">
        <v>320</v>
      </c>
      <c r="Q10" s="140">
        <v>320</v>
      </c>
      <c r="R10" s="140">
        <v>0</v>
      </c>
      <c r="S10" s="140">
        <v>0</v>
      </c>
      <c r="T10" s="140">
        <v>4320</v>
      </c>
      <c r="U10" s="140"/>
      <c r="V10" s="184">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Row],[OpnAvwb]],0))))</f>
        <v>4320</v>
      </c>
      <c r="W10" s="186">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Row],[AantVerlU]],0))))</f>
        <v>173</v>
      </c>
      <c r="X10" s="184"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f>
        <v/>
      </c>
      <c r="Y10" s="186"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f>
        <v/>
      </c>
    </row>
    <row r="11" spans="1:38" s="113" customFormat="1" ht="16.399999999999999" customHeight="1" x14ac:dyDescent="0.25">
      <c r="A11" s="245" t="s">
        <v>65</v>
      </c>
      <c r="B11" s="246"/>
      <c r="C11" s="200"/>
      <c r="D11" s="145">
        <f>IF(OR(Datum_Einde_IKV&gt;G10,Datum_Einde_IKV=""),IF(AND($B$2="Maandelijks", COUNTIF($D$1:D10, 12)=1), "",IF(OR(AND($B$2="Maandelijks", D10=12),AND($B$2="Vierwekelijks", D10=13), D10 = "Periode"), 1, D10+1)),"")</f>
        <v>10</v>
      </c>
      <c r="E11" s="145" t="str">
        <f>IF(OR(Datum_Einde_IKV="",Tabel135361516[[#This Row],[DatAanvTv]]&lt;Datum_Einde_IKV),IF(E10="december","",IF(Verloningsperiodiciteit="maandelijks",rekenwaarden!F12,_xlfn.CONCAT("Periode ",rekenwaarden!E12))),"")</f>
        <v>oktober</v>
      </c>
      <c r="F11" s="146">
        <f t="shared" si="0"/>
        <v>46661</v>
      </c>
      <c r="G11" s="146">
        <f>IF(F11="", "", IF(Verloningsperiodiciteit="Vierwekelijks", _xlfn.XLOOKUP(F11,rekenwaarden!$C$3:$C$54,rekenwaarden!$D$3:$D$54,"niet gevonden",-1), _xlfn.XLOOKUP(F11,rekenwaarden!$I$3:$I$54,rekenwaarden!$J$3:$J$54,"niet gevonden",-1)))</f>
        <v>46691</v>
      </c>
      <c r="H11" s="147">
        <f>IF(Tabel135361516[[#This Row],[Inkomsten-periode]]="","",DATEDIF(Geboortedatum,Tabel135361516[[#This Row],[DatEindTv]],"Y"))</f>
        <v>34</v>
      </c>
      <c r="I11" s="146">
        <f>IF(Tabel135361516[[#This Row],[Inkomsten-periode]]="","",IF(Datum_Aanvang_IKV="","",Datum_Aanvang_IKV))</f>
        <v>45658</v>
      </c>
      <c r="J11" s="146" t="str">
        <f>IF(Tabel135361516[[#This Row],[Inkomsten-periode]]="","",IF(Datum_Einde_IKV="","",IF(Datum_Einde_IKV&lt;=Tabel135361516[[#This Row],[DatEindTv]],Datum_Einde_IKV,"")))</f>
        <v/>
      </c>
      <c r="K11" s="141"/>
      <c r="L11" s="141">
        <v>15</v>
      </c>
      <c r="M11" s="141">
        <v>1</v>
      </c>
      <c r="N11" s="142">
        <v>173</v>
      </c>
      <c r="O11" s="143">
        <v>4320</v>
      </c>
      <c r="P11" s="143">
        <v>320</v>
      </c>
      <c r="Q11" s="143">
        <v>320</v>
      </c>
      <c r="R11" s="143">
        <v>0</v>
      </c>
      <c r="S11" s="143">
        <v>0</v>
      </c>
      <c r="T11" s="143">
        <v>4320</v>
      </c>
      <c r="U11" s="143"/>
      <c r="V11" s="184">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Row],[OpnAvwb]],0))))</f>
        <v>4320</v>
      </c>
      <c r="W11" s="186">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Row],[AantVerlU]],0))))</f>
        <v>173</v>
      </c>
      <c r="X11" s="184"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f>
        <v/>
      </c>
      <c r="Y11" s="186"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f>
        <v/>
      </c>
    </row>
    <row r="12" spans="1:38" s="113" customFormat="1" ht="16.399999999999999" customHeight="1" x14ac:dyDescent="0.25">
      <c r="A12" s="249" t="s">
        <v>181</v>
      </c>
      <c r="B12" s="250"/>
      <c r="C12" s="200"/>
      <c r="D12" s="144">
        <f>IF(OR(Datum_Einde_IKV&gt;G11,Datum_Einde_IKV=""),IF(AND($B$2="Maandelijks", COUNTIF($D$1:D11, 12)=1), "",IF(OR(AND($B$2="Maandelijks", D11=12),AND($B$2="Vierwekelijks", D11=13), D11 = "Periode"), 1, D11+1)),"")</f>
        <v>11</v>
      </c>
      <c r="E12" s="145" t="str">
        <f>IF(OR(Datum_Einde_IKV="",Tabel135361516[[#This Row],[DatAanvTv]]&lt;Datum_Einde_IKV),IF(E11="december","",IF(Verloningsperiodiciteit="maandelijks",rekenwaarden!F13,_xlfn.CONCAT("Periode ",rekenwaarden!E13))),"")</f>
        <v>november</v>
      </c>
      <c r="F12" s="146">
        <f t="shared" si="0"/>
        <v>46692</v>
      </c>
      <c r="G12" s="146">
        <f>IF(F12="", "", IF(Verloningsperiodiciteit="Vierwekelijks", _xlfn.XLOOKUP(F12,rekenwaarden!$C$3:$C$54,rekenwaarden!$D$3:$D$54,"niet gevonden",-1), _xlfn.XLOOKUP(F12,rekenwaarden!$I$3:$I$54,rekenwaarden!$J$3:$J$54,"niet gevonden",-1)))</f>
        <v>46721</v>
      </c>
      <c r="H12" s="147">
        <f>IF(Tabel135361516[[#This Row],[Inkomsten-periode]]="","",DATEDIF(Geboortedatum,Tabel135361516[[#This Row],[DatEindTv]],"Y"))</f>
        <v>34</v>
      </c>
      <c r="I12" s="146">
        <f>IF(Tabel135361516[[#This Row],[Inkomsten-periode]]="","",IF(Datum_Aanvang_IKV="","",Datum_Aanvang_IKV))</f>
        <v>45658</v>
      </c>
      <c r="J12" s="146" t="str">
        <f>IF(Tabel135361516[[#This Row],[Inkomsten-periode]]="","",IF(Datum_Einde_IKV="","",IF(Datum_Einde_IKV&lt;=Tabel135361516[[#This Row],[DatEindTv]],Datum_Einde_IKV,"")))</f>
        <v/>
      </c>
      <c r="K12" s="138"/>
      <c r="L12" s="138">
        <v>15</v>
      </c>
      <c r="M12" s="138">
        <v>1</v>
      </c>
      <c r="N12" s="139">
        <v>173</v>
      </c>
      <c r="O12" s="140">
        <v>4320</v>
      </c>
      <c r="P12" s="140">
        <v>320</v>
      </c>
      <c r="Q12" s="140">
        <v>320</v>
      </c>
      <c r="R12" s="140">
        <v>0</v>
      </c>
      <c r="S12" s="140">
        <v>0</v>
      </c>
      <c r="T12" s="140">
        <v>4320</v>
      </c>
      <c r="U12" s="140"/>
      <c r="V12" s="184">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Row],[OpnAvwb]],0))))</f>
        <v>4320</v>
      </c>
      <c r="W12" s="186">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Row],[AantVerlU]],0))))</f>
        <v>173</v>
      </c>
      <c r="X12" s="184"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f>
        <v/>
      </c>
      <c r="Y12" s="186"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f>
        <v/>
      </c>
    </row>
    <row r="13" spans="1:38" s="113" customFormat="1" ht="16.399999999999999" customHeight="1" x14ac:dyDescent="0.25">
      <c r="A13" s="249"/>
      <c r="B13" s="250"/>
      <c r="C13" s="200"/>
      <c r="D13" s="145">
        <f>IF(OR(Datum_Einde_IKV&gt;G12,Datum_Einde_IKV=""),IF(AND($B$2="Maandelijks", COUNTIF($D$1:D12, 12)=1), "",IF(OR(AND($B$2="Maandelijks", D12=12),AND($B$2="Vierwekelijks", D12=13), D12 = "Periode"), 1, D12+1)),"")</f>
        <v>12</v>
      </c>
      <c r="E13" s="145" t="str">
        <f>IF(OR(Datum_Einde_IKV="",Tabel135361516[[#This Row],[DatAanvTv]]&lt;Datum_Einde_IKV),IF(E12="december","",IF(Verloningsperiodiciteit="maandelijks",rekenwaarden!F14,_xlfn.CONCAT("Periode ",rekenwaarden!E14))),"")</f>
        <v>december</v>
      </c>
      <c r="F13" s="146">
        <f t="shared" si="0"/>
        <v>46722</v>
      </c>
      <c r="G13" s="146">
        <f>IF(F13="", "", IF(Verloningsperiodiciteit="Vierwekelijks", _xlfn.XLOOKUP(F13,rekenwaarden!$C$3:$C$54,rekenwaarden!$D$3:$D$54,"niet gevonden",-1), _xlfn.XLOOKUP(F13,rekenwaarden!$I$3:$I$54,rekenwaarden!$J$3:$J$54,"niet gevonden",-1)))</f>
        <v>46752</v>
      </c>
      <c r="H13" s="147">
        <f>IF(Tabel135361516[[#This Row],[Inkomsten-periode]]="","",DATEDIF(Geboortedatum,Tabel135361516[[#This Row],[DatEindTv]],"Y"))</f>
        <v>34</v>
      </c>
      <c r="I13" s="146">
        <f>IF(Tabel135361516[[#This Row],[Inkomsten-periode]]="","",IF(Datum_Aanvang_IKV="","",Datum_Aanvang_IKV))</f>
        <v>45658</v>
      </c>
      <c r="J13" s="146" t="str">
        <f>IF(Tabel135361516[[#This Row],[Inkomsten-periode]]="","",IF(Datum_Einde_IKV="","",IF(Datum_Einde_IKV&lt;=Tabel135361516[[#This Row],[DatEindTv]],Datum_Einde_IKV,"")))</f>
        <v/>
      </c>
      <c r="K13" s="141"/>
      <c r="L13" s="141">
        <v>15</v>
      </c>
      <c r="M13" s="141">
        <v>1</v>
      </c>
      <c r="N13" s="142">
        <v>173</v>
      </c>
      <c r="O13" s="143">
        <v>4320</v>
      </c>
      <c r="P13" s="143">
        <v>320</v>
      </c>
      <c r="Q13" s="143">
        <v>320</v>
      </c>
      <c r="R13" s="143">
        <v>0</v>
      </c>
      <c r="S13" s="143">
        <v>0</v>
      </c>
      <c r="T13" s="143">
        <v>4320</v>
      </c>
      <c r="U13" s="143"/>
      <c r="V13" s="184">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Row],[OpnAvwb]],0))))</f>
        <v>4320</v>
      </c>
      <c r="W13" s="186">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Row],[AantVerlU]],0))))</f>
        <v>173</v>
      </c>
      <c r="X13" s="184"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f>
        <v/>
      </c>
      <c r="Y13" s="186"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f>
        <v/>
      </c>
    </row>
    <row r="14" spans="1:38" s="113" customFormat="1" ht="16.399999999999999" customHeight="1" x14ac:dyDescent="0.25">
      <c r="A14" s="249"/>
      <c r="B14" s="250"/>
      <c r="C14" s="200"/>
      <c r="D14" s="144" t="str">
        <f>IF(OR(Datum_Einde_IKV&gt;G13,Datum_Einde_IKV=""),IF(AND($B$2="Maandelijks", COUNTIF($D$1:D13, 12)=1), "",IF(OR(AND($B$2="Maandelijks", D13=12),AND($B$2="Vierwekelijks", D13=13), D13 = "Periode"), 1, D13+1)),"")</f>
        <v/>
      </c>
      <c r="E14" s="145" t="str">
        <f>IF(OR(Datum_Einde_IKV="",Tabel135361516[[#This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IF(Tabel135361516[[#This Row],[Inkomsten-periode]]="","",DATEDIF(Geboortedatum,Tabel135361516[[#This Row],[DatEindTv]],"Y"))</f>
        <v/>
      </c>
      <c r="I14" s="146" t="str">
        <f>IF(Tabel135361516[[#This Row],[Inkomsten-periode]]="","",IF(Datum_Aanvang_IKV="","",Datum_Aanvang_IKV))</f>
        <v/>
      </c>
      <c r="J14" s="146" t="str">
        <f>IF(Tabel135361516[[#This Row],[Inkomsten-periode]]="","",IF(Datum_Einde_IKV="","",IF(Datum_Einde_IKV&lt;=Tabel135361516[[#This Row],[DatEindTv]],Datum_Einde_IKV,"")))</f>
        <v/>
      </c>
      <c r="K14" s="138"/>
      <c r="L14" s="138"/>
      <c r="M14" s="138"/>
      <c r="N14" s="139"/>
      <c r="O14" s="140"/>
      <c r="P14" s="140"/>
      <c r="Q14" s="140"/>
      <c r="R14" s="140"/>
      <c r="S14" s="140"/>
      <c r="T14" s="140"/>
      <c r="U14" s="140"/>
      <c r="V14" s="184" t="str">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Row],[OpnAvwb]],0))))</f>
        <v/>
      </c>
      <c r="W14" s="187" t="str">
        <f>IF(Tabel135361516[[#This Row],[Inkomsten-periode]]="","",IF(OR(Tabel135361516[[#This Row],[Leeftijd]]&lt;18,Tabel135361516[[#This Row],[Leeftijd]]&gt;=68),0,IF(Tabel135361516[[#This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Row],[AantVerlU]],0))))</f>
        <v/>
      </c>
      <c r="X14" s="184"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Row],[LnInGld]]+Tabel135361516[[#This Row],[OpgRchtVakBsl]]-Tabel135361516[[#This Row],[VakBsl]]+Tabel135361516[[#This Row],[OpbAvwb]]-Tabel135361516[[#This Row],[OpnAvwb]],"")),"")</f>
        <v/>
      </c>
      <c r="Y14" s="187" t="str">
        <f>IF(Tabel135361516[[#This Row],[Inkomsten-periode]]="",IF(Tabel135361516[[#This Row],[CdRdnEindArbov]]=33,0,IF(AND(OR(Tabel135361516[[#This Row],[SrtIV]]=13,Tabel135361516[[#This Row],[SrtIV]]=15,Tabel135361516[[#This Row],[SrtIV]]=31),OR(Tabel135361516[[#This Row],[CdAard]]=1,Tabel135361516[[#This Row],[CdAard]]=11,Tabel135361516[[#This Row],[CdAard]]=82,Tabel135361516[[#This Row],[CdAard]]=83)),Tabel135361516[[#This Row],[AantVerlU]],"")),"")</f>
        <v/>
      </c>
    </row>
    <row r="15" spans="1:38" ht="16.399999999999999" customHeight="1" thickBot="1" x14ac:dyDescent="0.3">
      <c r="A15" s="249"/>
      <c r="B15" s="250"/>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6.399999999999999" customHeight="1" x14ac:dyDescent="0.35">
      <c r="A16" s="249"/>
      <c r="B16" s="250"/>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249"/>
      <c r="B17" s="250"/>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249"/>
      <c r="B18" s="250"/>
      <c r="C18" s="200"/>
      <c r="D18" s="163">
        <f>D2</f>
        <v>1</v>
      </c>
      <c r="E18" s="150" t="str">
        <f>E2</f>
        <v>januari</v>
      </c>
      <c r="F18" s="151">
        <f>F2</f>
        <v>46388</v>
      </c>
      <c r="G18" s="151">
        <f>G2</f>
        <v>46418</v>
      </c>
      <c r="H18" s="188">
        <f t="shared" ref="H18:H30" si="1">IF(AND(W2="",Y2=""),"",MAX(W2,Y2))</f>
        <v>173</v>
      </c>
      <c r="I18" s="191">
        <f t="shared" ref="I18:I30" si="2">IF(AND(V2="",X2=""),"",MAX(V2,X2))</f>
        <v>4320</v>
      </c>
      <c r="J18" s="188">
        <f>IF($E18="","",IF($E19="",SUM(H18:H$30),H18))</f>
        <v>173</v>
      </c>
      <c r="K18" s="191">
        <f>IF($E18="","",IF($E19="",SUM(I18:I$30),I18))</f>
        <v>4320</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4320</v>
      </c>
      <c r="T18" s="157">
        <f t="shared" ref="T18:T30" si="10">IF(M18="","",J18+IF(AND(D18&lt;&gt;1, T17&lt;&gt;""),T17,0))</f>
        <v>173</v>
      </c>
      <c r="U18" s="157">
        <f t="shared" ref="U18:U30" si="11">IF(M18="","",R18+IF(AND(D18&lt;&gt;1, U17&lt;&gt;""),U17,0))</f>
        <v>173.33333333333334</v>
      </c>
      <c r="V18" s="158">
        <f>IF(M18="",0,T18/U18)</f>
        <v>0.99807692307692297</v>
      </c>
      <c r="W18" s="159">
        <f>IF(M18="","",VLOOKUP($B$6,rekenwaarden!M$8:N$12,2))</f>
        <v>9.4499999999999993</v>
      </c>
      <c r="X18" s="160">
        <f t="shared" ref="X18:X30" si="12">IF(M18="","",W18*J18)</f>
        <v>1634.85</v>
      </c>
      <c r="Y18" s="160">
        <f t="shared" ref="Y18:Y30" si="13">IF(M18="","",X18+IF(AND(D18&lt;&gt;1, Y17&lt;&gt;""),Y17,0))</f>
        <v>1634.85</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2685.15</v>
      </c>
      <c r="AE18" s="160">
        <f t="shared" ref="AE18:AE30" si="17">IF(M18="","",AD18-IF(AND(D18&lt;&gt;1, AD17&lt;&gt;""),AD17,0))</f>
        <v>2685.15</v>
      </c>
      <c r="AF18" s="160">
        <f>IF(OR($B$8="ONWAAR", M18=""), "", MAX(MIN(S18, AC18*MIN(1, V18))-AA18*MIN(1, V18), 0))</f>
        <v>0</v>
      </c>
      <c r="AG18" s="160">
        <f t="shared" ref="AG18:AG30" si="18">IF(OR(M18="", AF18=""),"",AF18-IF(AND(D18&lt;&gt;1, AF17&lt;&gt;""),AF17,0))</f>
        <v>0</v>
      </c>
      <c r="AH18" s="161">
        <f t="shared" ref="AH18:AH30" ca="1" si="19">IF($M18="", "", AE18*INDIRECT(CONCATENATE("premiepct", YEAR(F18))))</f>
        <v>797.48955000000001</v>
      </c>
      <c r="AI18" s="161">
        <f ca="1">IF(OR($F$4=FALSE, M18=""), "", AG18*INDIRECT(CONCATENATE("premiepct", YEAR($F18))))</f>
        <v>0</v>
      </c>
      <c r="AJ18" s="161"/>
      <c r="AK18" s="161"/>
      <c r="AL18" s="164">
        <f ca="1">IF(M18="","",SUM(AH18:AK18))</f>
        <v>797.48955000000001</v>
      </c>
    </row>
    <row r="19" spans="1:38" s="113" customFormat="1" ht="15.65" customHeight="1" x14ac:dyDescent="0.25">
      <c r="A19" s="249"/>
      <c r="B19" s="250"/>
      <c r="C19" s="200"/>
      <c r="D19" s="163">
        <f t="shared" ref="D19:G30" si="20">D3</f>
        <v>2</v>
      </c>
      <c r="E19" s="150" t="str">
        <f t="shared" si="20"/>
        <v>februari</v>
      </c>
      <c r="F19" s="151">
        <f t="shared" si="20"/>
        <v>46419</v>
      </c>
      <c r="G19" s="151">
        <f t="shared" si="20"/>
        <v>46446</v>
      </c>
      <c r="H19" s="189">
        <f t="shared" si="1"/>
        <v>173</v>
      </c>
      <c r="I19" s="192">
        <f t="shared" si="2"/>
        <v>4320</v>
      </c>
      <c r="J19" s="189">
        <f>IF($E19="","",IF($E20="",SUM(H19:H$30),H19))</f>
        <v>173</v>
      </c>
      <c r="K19" s="192">
        <f>IF($E19="","",IF($E20="",SUM(I19:I$30),I19))</f>
        <v>4320</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8640</v>
      </c>
      <c r="T19" s="157">
        <f t="shared" si="10"/>
        <v>346</v>
      </c>
      <c r="U19" s="157">
        <f t="shared" si="11"/>
        <v>346.66666666666669</v>
      </c>
      <c r="V19" s="158">
        <f t="shared" ref="V19:V30" si="22">IF(M19="","",T19/U19)</f>
        <v>0.99807692307692297</v>
      </c>
      <c r="W19" s="159">
        <f>IF(M19="","",VLOOKUP($B$6,rekenwaarden!M$8:N$12,2))</f>
        <v>9.4499999999999993</v>
      </c>
      <c r="X19" s="160">
        <f t="shared" si="12"/>
        <v>1634.85</v>
      </c>
      <c r="Y19" s="160">
        <f t="shared" si="13"/>
        <v>3269.7</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5370.3</v>
      </c>
      <c r="AE19" s="160">
        <f t="shared" si="17"/>
        <v>2685.15</v>
      </c>
      <c r="AF19" s="160">
        <f t="shared" ref="AF19:AF30" si="23">IF(OR($B$8="ONWAAR", M19=""), "", MAX(MIN(S19, AC19*MIN(1, V19))-AA19*MIN(1, V19), 0))</f>
        <v>0</v>
      </c>
      <c r="AG19" s="160">
        <f t="shared" si="18"/>
        <v>0</v>
      </c>
      <c r="AH19" s="161">
        <f t="shared" ca="1" si="19"/>
        <v>797.48955000000001</v>
      </c>
      <c r="AI19" s="161">
        <f t="shared" ref="AI19:AI30" ca="1" si="24">IF(OR($F$4=FALSE, M19=""), "", AG19*INDIRECT(CONCATENATE("premiepct", YEAR($F19))))</f>
        <v>0</v>
      </c>
      <c r="AJ19" s="161"/>
      <c r="AK19" s="161"/>
      <c r="AL19" s="164">
        <f t="shared" ref="AL19:AL30" ca="1" si="25">IF(M19="","",SUM(AH19:AK19))</f>
        <v>797.48955000000001</v>
      </c>
    </row>
    <row r="20" spans="1:38" s="113" customFormat="1" ht="15.65" customHeight="1" x14ac:dyDescent="0.25">
      <c r="A20" s="249"/>
      <c r="B20" s="250"/>
      <c r="C20" s="200"/>
      <c r="D20" s="163">
        <f t="shared" si="20"/>
        <v>3</v>
      </c>
      <c r="E20" s="150" t="str">
        <f t="shared" si="20"/>
        <v>maart</v>
      </c>
      <c r="F20" s="151">
        <f t="shared" si="20"/>
        <v>46447</v>
      </c>
      <c r="G20" s="151">
        <f t="shared" si="20"/>
        <v>46477</v>
      </c>
      <c r="H20" s="188">
        <f t="shared" si="1"/>
        <v>173</v>
      </c>
      <c r="I20" s="191">
        <f t="shared" si="2"/>
        <v>4320</v>
      </c>
      <c r="J20" s="188">
        <f>IF($E20="","",IF($E21="",SUM(H20:H$30),H20))</f>
        <v>173</v>
      </c>
      <c r="K20" s="191">
        <f>IF($E20="","",IF($E21="",SUM(I20:I$30),I20))</f>
        <v>4320</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12960</v>
      </c>
      <c r="T20" s="157">
        <f t="shared" si="10"/>
        <v>519</v>
      </c>
      <c r="U20" s="157">
        <f t="shared" si="11"/>
        <v>520</v>
      </c>
      <c r="V20" s="158">
        <f t="shared" si="22"/>
        <v>0.99807692307692308</v>
      </c>
      <c r="W20" s="159">
        <f>IF(M20="","",VLOOKUP($B$6,rekenwaarden!M$8:N$12,2))</f>
        <v>9.4499999999999993</v>
      </c>
      <c r="X20" s="160">
        <f t="shared" si="12"/>
        <v>1634.85</v>
      </c>
      <c r="Y20" s="160">
        <f t="shared" si="13"/>
        <v>4904.5499999999993</v>
      </c>
      <c r="Z20" s="160">
        <f>IF(M20="","", VLOOKUP(B$6,rekenwaarden!M$8:T$12,3)*Q20)</f>
        <v>6617.4166666666661</v>
      </c>
      <c r="AA20" s="160">
        <f t="shared" si="14"/>
        <v>19852.25</v>
      </c>
      <c r="AB20" s="160">
        <f>IF(M20="","", VLOOKUP($B$6,rekenwaarden!M$8:T$12,4)*Q20)</f>
        <v>11483.333333333332</v>
      </c>
      <c r="AC20" s="160">
        <f t="shared" si="15"/>
        <v>34450</v>
      </c>
      <c r="AD20" s="160">
        <f t="shared" si="16"/>
        <v>8055.4500000000007</v>
      </c>
      <c r="AE20" s="160">
        <f t="shared" si="17"/>
        <v>2685.1500000000005</v>
      </c>
      <c r="AF20" s="160">
        <f t="shared" si="23"/>
        <v>0</v>
      </c>
      <c r="AG20" s="160">
        <f t="shared" si="18"/>
        <v>0</v>
      </c>
      <c r="AH20" s="161">
        <f t="shared" ca="1" si="19"/>
        <v>797.48955000000012</v>
      </c>
      <c r="AI20" s="161">
        <f t="shared" ca="1" si="24"/>
        <v>0</v>
      </c>
      <c r="AJ20" s="161"/>
      <c r="AK20" s="161"/>
      <c r="AL20" s="164">
        <f t="shared" ca="1" si="25"/>
        <v>797.48955000000012</v>
      </c>
    </row>
    <row r="21" spans="1:38" s="113" customFormat="1" ht="15.65" customHeight="1" x14ac:dyDescent="0.25">
      <c r="A21" s="249"/>
      <c r="B21" s="250"/>
      <c r="C21" s="200"/>
      <c r="D21" s="163">
        <f t="shared" si="20"/>
        <v>4</v>
      </c>
      <c r="E21" s="150" t="str">
        <f t="shared" si="20"/>
        <v>april</v>
      </c>
      <c r="F21" s="151">
        <f t="shared" si="20"/>
        <v>46478</v>
      </c>
      <c r="G21" s="151">
        <f t="shared" si="20"/>
        <v>46507</v>
      </c>
      <c r="H21" s="189">
        <f t="shared" si="1"/>
        <v>173</v>
      </c>
      <c r="I21" s="192">
        <f t="shared" si="2"/>
        <v>4320</v>
      </c>
      <c r="J21" s="189">
        <f>IF($E21="","",IF($E22="",SUM(H21:H$30),H21))</f>
        <v>173</v>
      </c>
      <c r="K21" s="192">
        <f>IF($E21="","",IF($E22="",SUM(I21:I$30),I21))</f>
        <v>4320</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17280</v>
      </c>
      <c r="T21" s="157">
        <f t="shared" si="10"/>
        <v>692</v>
      </c>
      <c r="U21" s="157">
        <f t="shared" si="11"/>
        <v>693.33333333333337</v>
      </c>
      <c r="V21" s="158">
        <f t="shared" si="22"/>
        <v>0.99807692307692297</v>
      </c>
      <c r="W21" s="159">
        <f>IF(M21="","",VLOOKUP($B$6,rekenwaarden!M$8:N$12,2))</f>
        <v>9.4499999999999993</v>
      </c>
      <c r="X21" s="160">
        <f t="shared" si="12"/>
        <v>1634.85</v>
      </c>
      <c r="Y21" s="160">
        <f t="shared" si="13"/>
        <v>6539.4</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10740.6</v>
      </c>
      <c r="AE21" s="160">
        <f t="shared" si="17"/>
        <v>2685.1499999999996</v>
      </c>
      <c r="AF21" s="160">
        <f t="shared" si="23"/>
        <v>0</v>
      </c>
      <c r="AG21" s="160">
        <f t="shared" si="18"/>
        <v>0</v>
      </c>
      <c r="AH21" s="161">
        <f t="shared" ca="1" si="19"/>
        <v>797.48954999999989</v>
      </c>
      <c r="AI21" s="161">
        <f t="shared" ca="1" si="24"/>
        <v>0</v>
      </c>
      <c r="AJ21" s="161"/>
      <c r="AK21" s="161"/>
      <c r="AL21" s="164">
        <f t="shared" ca="1" si="25"/>
        <v>797.48954999999989</v>
      </c>
    </row>
    <row r="22" spans="1:38" s="113" customFormat="1" ht="15.65" customHeight="1" x14ac:dyDescent="0.25">
      <c r="A22" s="249"/>
      <c r="B22" s="250"/>
      <c r="C22" s="200"/>
      <c r="D22" s="163">
        <f t="shared" si="20"/>
        <v>5</v>
      </c>
      <c r="E22" s="150" t="str">
        <f t="shared" si="20"/>
        <v>mei</v>
      </c>
      <c r="F22" s="151">
        <f t="shared" si="20"/>
        <v>46508</v>
      </c>
      <c r="G22" s="151">
        <f t="shared" si="20"/>
        <v>46538</v>
      </c>
      <c r="H22" s="188">
        <f t="shared" si="1"/>
        <v>173</v>
      </c>
      <c r="I22" s="191">
        <f t="shared" si="2"/>
        <v>4320</v>
      </c>
      <c r="J22" s="188">
        <f>IF($E22="","",IF($E23="",SUM(H22:H$30),H22))</f>
        <v>173</v>
      </c>
      <c r="K22" s="191">
        <f>IF($E22="","",IF($E23="",SUM(I22:I$30),I22))</f>
        <v>4320</v>
      </c>
      <c r="L22" s="152">
        <f t="shared" si="3"/>
        <v>40</v>
      </c>
      <c r="M22" s="151">
        <f t="shared" si="4"/>
        <v>46508</v>
      </c>
      <c r="N22" s="151">
        <f t="shared" si="5"/>
        <v>46538</v>
      </c>
      <c r="O22" s="150">
        <f t="shared" si="21"/>
        <v>31</v>
      </c>
      <c r="P22" s="153">
        <f t="shared" si="6"/>
        <v>1</v>
      </c>
      <c r="Q22" s="154">
        <f t="shared" si="7"/>
        <v>8.3333333333333329E-2</v>
      </c>
      <c r="R22" s="155">
        <f t="shared" si="8"/>
        <v>173.33333333333334</v>
      </c>
      <c r="S22" s="156">
        <f t="shared" si="9"/>
        <v>21600</v>
      </c>
      <c r="T22" s="157">
        <f t="shared" si="10"/>
        <v>865</v>
      </c>
      <c r="U22" s="157">
        <f t="shared" si="11"/>
        <v>866.66666666666674</v>
      </c>
      <c r="V22" s="158">
        <f t="shared" si="22"/>
        <v>0.99807692307692297</v>
      </c>
      <c r="W22" s="159">
        <f>IF(M22="","",VLOOKUP($B$6,rekenwaarden!M$8:N$12,2))</f>
        <v>9.4499999999999993</v>
      </c>
      <c r="X22" s="160">
        <f t="shared" si="12"/>
        <v>1634.85</v>
      </c>
      <c r="Y22" s="160">
        <f t="shared" si="13"/>
        <v>8174.25</v>
      </c>
      <c r="Z22" s="160">
        <f>IF(M22="","", VLOOKUP(B$6,rekenwaarden!M$8:T$12,3)*Q22)</f>
        <v>6617.4166666666661</v>
      </c>
      <c r="AA22" s="160">
        <f t="shared" si="14"/>
        <v>33087.083333333328</v>
      </c>
      <c r="AB22" s="160">
        <f>IF(M22="","", VLOOKUP($B$6,rekenwaarden!M$8:T$12,4)*Q22)</f>
        <v>11483.333333333332</v>
      </c>
      <c r="AC22" s="160">
        <f t="shared" si="15"/>
        <v>57416.666666666657</v>
      </c>
      <c r="AD22" s="160">
        <f t="shared" si="16"/>
        <v>13425.75</v>
      </c>
      <c r="AE22" s="160">
        <f t="shared" si="17"/>
        <v>2685.1499999999996</v>
      </c>
      <c r="AF22" s="160">
        <f t="shared" si="23"/>
        <v>0</v>
      </c>
      <c r="AG22" s="160">
        <f t="shared" si="18"/>
        <v>0</v>
      </c>
      <c r="AH22" s="161">
        <f t="shared" ca="1" si="19"/>
        <v>797.48954999999989</v>
      </c>
      <c r="AI22" s="161">
        <f t="shared" ca="1" si="24"/>
        <v>0</v>
      </c>
      <c r="AJ22" s="161"/>
      <c r="AK22" s="161"/>
      <c r="AL22" s="164">
        <f t="shared" ca="1" si="25"/>
        <v>797.48954999999989</v>
      </c>
    </row>
    <row r="23" spans="1:38" s="113" customFormat="1" ht="15.65" customHeight="1" x14ac:dyDescent="0.25">
      <c r="A23" s="249"/>
      <c r="B23" s="250"/>
      <c r="C23" s="200"/>
      <c r="D23" s="163">
        <f t="shared" si="20"/>
        <v>6</v>
      </c>
      <c r="E23" s="150" t="str">
        <f t="shared" si="20"/>
        <v>juni</v>
      </c>
      <c r="F23" s="151">
        <f t="shared" si="20"/>
        <v>46539</v>
      </c>
      <c r="G23" s="151">
        <f t="shared" si="20"/>
        <v>46568</v>
      </c>
      <c r="H23" s="189">
        <f t="shared" si="1"/>
        <v>173</v>
      </c>
      <c r="I23" s="192">
        <f t="shared" si="2"/>
        <v>4320</v>
      </c>
      <c r="J23" s="189">
        <f>IF($E23="","",IF($E24="",SUM(H23:H$30),H23))</f>
        <v>173</v>
      </c>
      <c r="K23" s="192">
        <f>IF($E23="","",IF($E24="",SUM(I23:I$30),I23))</f>
        <v>4320</v>
      </c>
      <c r="L23" s="152">
        <f t="shared" si="3"/>
        <v>40</v>
      </c>
      <c r="M23" s="151">
        <f t="shared" si="4"/>
        <v>46539</v>
      </c>
      <c r="N23" s="151">
        <f t="shared" si="5"/>
        <v>46568</v>
      </c>
      <c r="O23" s="150">
        <f t="shared" si="21"/>
        <v>30</v>
      </c>
      <c r="P23" s="153">
        <f t="shared" si="6"/>
        <v>1</v>
      </c>
      <c r="Q23" s="154">
        <f t="shared" si="7"/>
        <v>8.3333333333333329E-2</v>
      </c>
      <c r="R23" s="155">
        <f t="shared" si="8"/>
        <v>173.33333333333334</v>
      </c>
      <c r="S23" s="156">
        <f t="shared" si="9"/>
        <v>25920</v>
      </c>
      <c r="T23" s="157">
        <f t="shared" si="10"/>
        <v>1038</v>
      </c>
      <c r="U23" s="157">
        <f t="shared" si="11"/>
        <v>1040</v>
      </c>
      <c r="V23" s="158">
        <f t="shared" si="22"/>
        <v>0.99807692307692308</v>
      </c>
      <c r="W23" s="159">
        <f>IF(M23="","",VLOOKUP($B$6,rekenwaarden!M$8:N$12,2))</f>
        <v>9.4499999999999993</v>
      </c>
      <c r="X23" s="160">
        <f t="shared" si="12"/>
        <v>1634.85</v>
      </c>
      <c r="Y23" s="160">
        <f t="shared" si="13"/>
        <v>9809.1</v>
      </c>
      <c r="Z23" s="160">
        <f>IF(M23="","", VLOOKUP(B$6,rekenwaarden!M$8:T$12,3)*Q23)</f>
        <v>6617.4166666666661</v>
      </c>
      <c r="AA23" s="160">
        <f t="shared" si="14"/>
        <v>39704.499999999993</v>
      </c>
      <c r="AB23" s="160">
        <f>IF(M23="","", VLOOKUP($B$6,rekenwaarden!M$8:T$12,4)*Q23)</f>
        <v>11483.333333333332</v>
      </c>
      <c r="AC23" s="160">
        <f t="shared" si="15"/>
        <v>68899.999999999985</v>
      </c>
      <c r="AD23" s="160">
        <f t="shared" si="16"/>
        <v>16110.9</v>
      </c>
      <c r="AE23" s="160">
        <f t="shared" si="17"/>
        <v>2685.1499999999996</v>
      </c>
      <c r="AF23" s="160">
        <f t="shared" si="23"/>
        <v>0</v>
      </c>
      <c r="AG23" s="160">
        <f t="shared" si="18"/>
        <v>0</v>
      </c>
      <c r="AH23" s="161">
        <f t="shared" ca="1" si="19"/>
        <v>797.48954999999989</v>
      </c>
      <c r="AI23" s="161">
        <f t="shared" ca="1" si="24"/>
        <v>0</v>
      </c>
      <c r="AJ23" s="161"/>
      <c r="AK23" s="161"/>
      <c r="AL23" s="164">
        <f t="shared" ca="1" si="25"/>
        <v>797.48954999999989</v>
      </c>
    </row>
    <row r="24" spans="1:38" s="113" customFormat="1" ht="15.65" customHeight="1" x14ac:dyDescent="0.25">
      <c r="A24" s="249"/>
      <c r="B24" s="250"/>
      <c r="C24" s="200"/>
      <c r="D24" s="163">
        <f t="shared" si="20"/>
        <v>7</v>
      </c>
      <c r="E24" s="150" t="str">
        <f t="shared" si="20"/>
        <v>juli</v>
      </c>
      <c r="F24" s="151">
        <f t="shared" si="20"/>
        <v>46569</v>
      </c>
      <c r="G24" s="151">
        <f t="shared" si="20"/>
        <v>46599</v>
      </c>
      <c r="H24" s="188">
        <f t="shared" si="1"/>
        <v>213</v>
      </c>
      <c r="I24" s="191">
        <f t="shared" si="2"/>
        <v>5620</v>
      </c>
      <c r="J24" s="188">
        <f>IF($E24="","",IF($E25="",SUM(H24:H$30),H24))</f>
        <v>213</v>
      </c>
      <c r="K24" s="191">
        <f>IF($E24="","",IF($E25="",SUM(I24:I$30),I24))</f>
        <v>5620</v>
      </c>
      <c r="L24" s="152">
        <f t="shared" si="3"/>
        <v>40</v>
      </c>
      <c r="M24" s="151">
        <f t="shared" si="4"/>
        <v>46569</v>
      </c>
      <c r="N24" s="151">
        <f t="shared" si="5"/>
        <v>46599</v>
      </c>
      <c r="O24" s="150">
        <f t="shared" si="21"/>
        <v>31</v>
      </c>
      <c r="P24" s="153">
        <f t="shared" si="6"/>
        <v>1</v>
      </c>
      <c r="Q24" s="154">
        <f t="shared" si="7"/>
        <v>8.3333333333333329E-2</v>
      </c>
      <c r="R24" s="155">
        <f t="shared" si="8"/>
        <v>173.33333333333334</v>
      </c>
      <c r="S24" s="156">
        <f t="shared" si="9"/>
        <v>31540</v>
      </c>
      <c r="T24" s="157">
        <f t="shared" si="10"/>
        <v>1251</v>
      </c>
      <c r="U24" s="157">
        <f t="shared" si="11"/>
        <v>1213.3333333333333</v>
      </c>
      <c r="V24" s="158">
        <f t="shared" si="22"/>
        <v>1.0310439560439562</v>
      </c>
      <c r="W24" s="159">
        <f>IF(M24="","",VLOOKUP($B$6,rekenwaarden!M$8:N$12,2))</f>
        <v>9.4499999999999993</v>
      </c>
      <c r="X24" s="160">
        <f t="shared" si="12"/>
        <v>2012.85</v>
      </c>
      <c r="Y24" s="160">
        <f t="shared" si="13"/>
        <v>11821.95</v>
      </c>
      <c r="Z24" s="160">
        <f>IF(M24="","", VLOOKUP(B$6,rekenwaarden!M$8:T$12,3)*Q24)</f>
        <v>6617.4166666666661</v>
      </c>
      <c r="AA24" s="160">
        <f t="shared" si="14"/>
        <v>46321.916666666657</v>
      </c>
      <c r="AB24" s="160">
        <f>IF(M24="","", VLOOKUP($B$6,rekenwaarden!M$8:T$12,4)*Q24)</f>
        <v>11483.333333333332</v>
      </c>
      <c r="AC24" s="160">
        <f t="shared" si="15"/>
        <v>80383.333333333314</v>
      </c>
      <c r="AD24" s="160">
        <f t="shared" si="16"/>
        <v>19718.05</v>
      </c>
      <c r="AE24" s="160">
        <f t="shared" si="17"/>
        <v>3607.1499999999996</v>
      </c>
      <c r="AF24" s="160">
        <f t="shared" si="23"/>
        <v>0</v>
      </c>
      <c r="AG24" s="160">
        <f t="shared" si="18"/>
        <v>0</v>
      </c>
      <c r="AH24" s="161">
        <f t="shared" ca="1" si="19"/>
        <v>1071.3235499999998</v>
      </c>
      <c r="AI24" s="161">
        <f t="shared" ca="1" si="24"/>
        <v>0</v>
      </c>
      <c r="AJ24" s="161"/>
      <c r="AK24" s="161"/>
      <c r="AL24" s="164">
        <f t="shared" ca="1" si="25"/>
        <v>1071.3235499999998</v>
      </c>
    </row>
    <row r="25" spans="1:38" s="113" customFormat="1" ht="15.65" customHeight="1" x14ac:dyDescent="0.25">
      <c r="A25" s="249"/>
      <c r="B25" s="250"/>
      <c r="C25" s="200"/>
      <c r="D25" s="163">
        <f t="shared" si="20"/>
        <v>8</v>
      </c>
      <c r="E25" s="150" t="str">
        <f t="shared" si="20"/>
        <v>augustus</v>
      </c>
      <c r="F25" s="151">
        <f t="shared" si="20"/>
        <v>46600</v>
      </c>
      <c r="G25" s="151">
        <f t="shared" si="20"/>
        <v>46630</v>
      </c>
      <c r="H25" s="189">
        <f t="shared" si="1"/>
        <v>213</v>
      </c>
      <c r="I25" s="192">
        <f t="shared" si="2"/>
        <v>5620</v>
      </c>
      <c r="J25" s="189">
        <f>IF($E25="","",IF($E26="",SUM(H25:H$30),H25))</f>
        <v>213</v>
      </c>
      <c r="K25" s="192">
        <f>IF($E25="","",IF($E26="",SUM(I25:I$30),I25))</f>
        <v>5620</v>
      </c>
      <c r="L25" s="152">
        <f t="shared" si="3"/>
        <v>40</v>
      </c>
      <c r="M25" s="151">
        <f t="shared" si="4"/>
        <v>46600</v>
      </c>
      <c r="N25" s="151">
        <f t="shared" si="5"/>
        <v>46630</v>
      </c>
      <c r="O25" s="150">
        <f t="shared" si="21"/>
        <v>31</v>
      </c>
      <c r="P25" s="153">
        <f t="shared" si="6"/>
        <v>1</v>
      </c>
      <c r="Q25" s="154">
        <f t="shared" si="7"/>
        <v>8.3333333333333329E-2</v>
      </c>
      <c r="R25" s="155">
        <f t="shared" si="8"/>
        <v>173.33333333333334</v>
      </c>
      <c r="S25" s="156">
        <f t="shared" si="9"/>
        <v>37160</v>
      </c>
      <c r="T25" s="157">
        <f t="shared" si="10"/>
        <v>1464</v>
      </c>
      <c r="U25" s="157">
        <f t="shared" si="11"/>
        <v>1386.6666666666665</v>
      </c>
      <c r="V25" s="158">
        <f t="shared" si="22"/>
        <v>1.0557692307692308</v>
      </c>
      <c r="W25" s="159">
        <f>IF(M25="","",VLOOKUP($B$6,rekenwaarden!M$8:N$12,2))</f>
        <v>9.4499999999999993</v>
      </c>
      <c r="X25" s="160">
        <f t="shared" si="12"/>
        <v>2012.85</v>
      </c>
      <c r="Y25" s="160">
        <f t="shared" si="13"/>
        <v>13834.800000000001</v>
      </c>
      <c r="Z25" s="160">
        <f>IF(M25="","", VLOOKUP(B$6,rekenwaarden!M$8:T$12,3)*Q25)</f>
        <v>6617.4166666666661</v>
      </c>
      <c r="AA25" s="160">
        <f t="shared" si="14"/>
        <v>52939.333333333321</v>
      </c>
      <c r="AB25" s="160">
        <f>IF(M25="","", VLOOKUP($B$6,rekenwaarden!M$8:T$12,4)*Q25)</f>
        <v>11483.333333333332</v>
      </c>
      <c r="AC25" s="160">
        <f t="shared" si="15"/>
        <v>91866.666666666642</v>
      </c>
      <c r="AD25" s="160">
        <f t="shared" si="16"/>
        <v>23325.199999999997</v>
      </c>
      <c r="AE25" s="160">
        <f t="shared" si="17"/>
        <v>3607.1499999999978</v>
      </c>
      <c r="AF25" s="160">
        <f t="shared" si="23"/>
        <v>0</v>
      </c>
      <c r="AG25" s="160">
        <f t="shared" si="18"/>
        <v>0</v>
      </c>
      <c r="AH25" s="161">
        <f t="shared" ca="1" si="19"/>
        <v>1071.3235499999994</v>
      </c>
      <c r="AI25" s="161">
        <f t="shared" ca="1" si="24"/>
        <v>0</v>
      </c>
      <c r="AJ25" s="161"/>
      <c r="AK25" s="161"/>
      <c r="AL25" s="164">
        <f t="shared" ca="1" si="25"/>
        <v>1071.3235499999994</v>
      </c>
    </row>
    <row r="26" spans="1:38" s="113" customFormat="1" ht="15.65" customHeight="1" x14ac:dyDescent="0.25">
      <c r="A26" s="125"/>
      <c r="B26" s="126"/>
      <c r="C26" s="200"/>
      <c r="D26" s="163">
        <f t="shared" si="20"/>
        <v>9</v>
      </c>
      <c r="E26" s="150" t="str">
        <f t="shared" si="20"/>
        <v>september</v>
      </c>
      <c r="F26" s="151">
        <f t="shared" si="20"/>
        <v>46631</v>
      </c>
      <c r="G26" s="151">
        <f t="shared" si="20"/>
        <v>46660</v>
      </c>
      <c r="H26" s="188">
        <f t="shared" si="1"/>
        <v>173</v>
      </c>
      <c r="I26" s="191">
        <f t="shared" si="2"/>
        <v>4320</v>
      </c>
      <c r="J26" s="188">
        <f>IF($E26="","",IF($E27="",SUM(H26:H$30),H26))</f>
        <v>173</v>
      </c>
      <c r="K26" s="191">
        <f>IF($E26="","",IF($E27="",SUM(I26:I$30),I26))</f>
        <v>4320</v>
      </c>
      <c r="L26" s="152">
        <f t="shared" si="3"/>
        <v>40</v>
      </c>
      <c r="M26" s="151">
        <f t="shared" si="4"/>
        <v>46631</v>
      </c>
      <c r="N26" s="151">
        <f t="shared" si="5"/>
        <v>46660</v>
      </c>
      <c r="O26" s="150">
        <f t="shared" si="21"/>
        <v>30</v>
      </c>
      <c r="P26" s="153">
        <f t="shared" si="6"/>
        <v>1</v>
      </c>
      <c r="Q26" s="154">
        <f t="shared" si="7"/>
        <v>8.3333333333333329E-2</v>
      </c>
      <c r="R26" s="155">
        <f t="shared" si="8"/>
        <v>173.33333333333334</v>
      </c>
      <c r="S26" s="156">
        <f t="shared" si="9"/>
        <v>41480</v>
      </c>
      <c r="T26" s="157">
        <f t="shared" si="10"/>
        <v>1637</v>
      </c>
      <c r="U26" s="157">
        <f t="shared" si="11"/>
        <v>1559.9999999999998</v>
      </c>
      <c r="V26" s="158">
        <f t="shared" si="22"/>
        <v>1.0493589743589744</v>
      </c>
      <c r="W26" s="159">
        <f>IF(M26="","",VLOOKUP($B$6,rekenwaarden!M$8:N$12,2))</f>
        <v>9.4499999999999993</v>
      </c>
      <c r="X26" s="160">
        <f t="shared" si="12"/>
        <v>1634.85</v>
      </c>
      <c r="Y26" s="160">
        <f t="shared" si="13"/>
        <v>15469.650000000001</v>
      </c>
      <c r="Z26" s="160">
        <f>IF(M26="","", VLOOKUP(B$6,rekenwaarden!M$8:T$12,3)*Q26)</f>
        <v>6617.4166666666661</v>
      </c>
      <c r="AA26" s="160">
        <f t="shared" si="14"/>
        <v>59556.749999999985</v>
      </c>
      <c r="AB26" s="160">
        <f>IF(M26="","", VLOOKUP($B$6,rekenwaarden!M$8:T$12,4)*Q26)</f>
        <v>11483.333333333332</v>
      </c>
      <c r="AC26" s="160">
        <f t="shared" si="15"/>
        <v>103349.99999999997</v>
      </c>
      <c r="AD26" s="160">
        <f t="shared" si="16"/>
        <v>26010.35</v>
      </c>
      <c r="AE26" s="160">
        <f t="shared" si="17"/>
        <v>2685.1500000000015</v>
      </c>
      <c r="AF26" s="160">
        <f t="shared" si="23"/>
        <v>0</v>
      </c>
      <c r="AG26" s="160">
        <f t="shared" si="18"/>
        <v>0</v>
      </c>
      <c r="AH26" s="161">
        <f t="shared" ca="1" si="19"/>
        <v>797.48955000000035</v>
      </c>
      <c r="AI26" s="161">
        <f t="shared" ca="1" si="24"/>
        <v>0</v>
      </c>
      <c r="AJ26" s="161"/>
      <c r="AK26" s="161"/>
      <c r="AL26" s="164">
        <f t="shared" ca="1" si="25"/>
        <v>797.48955000000035</v>
      </c>
    </row>
    <row r="27" spans="1:38" s="113" customFormat="1" ht="15.65" customHeight="1" x14ac:dyDescent="0.25">
      <c r="A27" s="125"/>
      <c r="B27" s="126"/>
      <c r="C27" s="200"/>
      <c r="D27" s="163">
        <f t="shared" si="20"/>
        <v>10</v>
      </c>
      <c r="E27" s="150" t="str">
        <f t="shared" si="20"/>
        <v>oktober</v>
      </c>
      <c r="F27" s="151">
        <f t="shared" si="20"/>
        <v>46661</v>
      </c>
      <c r="G27" s="151">
        <f t="shared" si="20"/>
        <v>46691</v>
      </c>
      <c r="H27" s="189">
        <f t="shared" si="1"/>
        <v>173</v>
      </c>
      <c r="I27" s="192">
        <f t="shared" si="2"/>
        <v>4320</v>
      </c>
      <c r="J27" s="189">
        <f>IF($E27="","",IF($E28="",SUM(H27:H$30),H27))</f>
        <v>173</v>
      </c>
      <c r="K27" s="192">
        <f>IF($E27="","",IF($E28="",SUM(I27:I$30),I27))</f>
        <v>4320</v>
      </c>
      <c r="L27" s="152">
        <f t="shared" si="3"/>
        <v>40</v>
      </c>
      <c r="M27" s="151">
        <f t="shared" si="4"/>
        <v>46661</v>
      </c>
      <c r="N27" s="151">
        <f t="shared" si="5"/>
        <v>46691</v>
      </c>
      <c r="O27" s="150">
        <f t="shared" si="21"/>
        <v>31</v>
      </c>
      <c r="P27" s="153">
        <f t="shared" si="6"/>
        <v>1</v>
      </c>
      <c r="Q27" s="154">
        <f t="shared" si="7"/>
        <v>8.3333333333333329E-2</v>
      </c>
      <c r="R27" s="155">
        <f t="shared" si="8"/>
        <v>173.33333333333334</v>
      </c>
      <c r="S27" s="156">
        <f t="shared" si="9"/>
        <v>45800</v>
      </c>
      <c r="T27" s="157">
        <f t="shared" si="10"/>
        <v>1810</v>
      </c>
      <c r="U27" s="157">
        <f t="shared" si="11"/>
        <v>1733.333333333333</v>
      </c>
      <c r="V27" s="158">
        <f t="shared" si="22"/>
        <v>1.0442307692307695</v>
      </c>
      <c r="W27" s="159">
        <f>IF(M27="","",VLOOKUP($B$6,rekenwaarden!M$8:N$12,2))</f>
        <v>9.4499999999999993</v>
      </c>
      <c r="X27" s="160">
        <f t="shared" si="12"/>
        <v>1634.85</v>
      </c>
      <c r="Y27" s="160">
        <f t="shared" si="13"/>
        <v>17104.5</v>
      </c>
      <c r="Z27" s="160">
        <f>IF(M27="","", VLOOKUP(B$6,rekenwaarden!M$8:T$12,3)*Q27)</f>
        <v>6617.4166666666661</v>
      </c>
      <c r="AA27" s="160">
        <f t="shared" si="14"/>
        <v>66174.166666666657</v>
      </c>
      <c r="AB27" s="160">
        <f>IF(M27="","", VLOOKUP($B$6,rekenwaarden!M$8:T$12,4)*Q27)</f>
        <v>11483.333333333332</v>
      </c>
      <c r="AC27" s="160">
        <f t="shared" si="15"/>
        <v>114833.3333333333</v>
      </c>
      <c r="AD27" s="160">
        <f t="shared" si="16"/>
        <v>28695.5</v>
      </c>
      <c r="AE27" s="160">
        <f t="shared" si="17"/>
        <v>2685.1500000000015</v>
      </c>
      <c r="AF27" s="160">
        <f t="shared" si="23"/>
        <v>0</v>
      </c>
      <c r="AG27" s="160">
        <f t="shared" si="18"/>
        <v>0</v>
      </c>
      <c r="AH27" s="161">
        <f t="shared" ca="1" si="19"/>
        <v>797.48955000000035</v>
      </c>
      <c r="AI27" s="161">
        <f t="shared" ca="1" si="24"/>
        <v>0</v>
      </c>
      <c r="AJ27" s="161"/>
      <c r="AK27" s="161"/>
      <c r="AL27" s="164">
        <f t="shared" ca="1" si="25"/>
        <v>797.48955000000035</v>
      </c>
    </row>
    <row r="28" spans="1:38" s="113" customFormat="1" ht="15.65" customHeight="1" x14ac:dyDescent="0.25">
      <c r="A28" s="125"/>
      <c r="B28" s="126"/>
      <c r="C28" s="200"/>
      <c r="D28" s="163">
        <f t="shared" si="20"/>
        <v>11</v>
      </c>
      <c r="E28" s="150" t="str">
        <f t="shared" si="20"/>
        <v>november</v>
      </c>
      <c r="F28" s="151">
        <f t="shared" si="20"/>
        <v>46692</v>
      </c>
      <c r="G28" s="151">
        <f t="shared" si="20"/>
        <v>46721</v>
      </c>
      <c r="H28" s="188">
        <f t="shared" si="1"/>
        <v>173</v>
      </c>
      <c r="I28" s="191">
        <f t="shared" si="2"/>
        <v>4320</v>
      </c>
      <c r="J28" s="188">
        <f>IF($E28="","",IF($E29="",SUM(H28:H$30),H28))</f>
        <v>173</v>
      </c>
      <c r="K28" s="191">
        <f>IF($E28="","",IF($E29="",SUM(I28:I$30),I28))</f>
        <v>4320</v>
      </c>
      <c r="L28" s="152">
        <f t="shared" si="3"/>
        <v>40</v>
      </c>
      <c r="M28" s="151">
        <f t="shared" si="4"/>
        <v>46692</v>
      </c>
      <c r="N28" s="151">
        <f t="shared" si="5"/>
        <v>46721</v>
      </c>
      <c r="O28" s="150">
        <f t="shared" si="21"/>
        <v>30</v>
      </c>
      <c r="P28" s="153">
        <f t="shared" si="6"/>
        <v>1</v>
      </c>
      <c r="Q28" s="154">
        <f t="shared" si="7"/>
        <v>8.3333333333333329E-2</v>
      </c>
      <c r="R28" s="155">
        <f t="shared" si="8"/>
        <v>173.33333333333334</v>
      </c>
      <c r="S28" s="156">
        <f t="shared" si="9"/>
        <v>50120</v>
      </c>
      <c r="T28" s="157">
        <f t="shared" si="10"/>
        <v>1983</v>
      </c>
      <c r="U28" s="157">
        <f t="shared" si="11"/>
        <v>1906.6666666666663</v>
      </c>
      <c r="V28" s="158">
        <f t="shared" si="22"/>
        <v>1.0400349650349652</v>
      </c>
      <c r="W28" s="159">
        <f>IF(M28="","",VLOOKUP($B$6,rekenwaarden!M$8:N$12,2))</f>
        <v>9.4499999999999993</v>
      </c>
      <c r="X28" s="160">
        <f t="shared" si="12"/>
        <v>1634.85</v>
      </c>
      <c r="Y28" s="160">
        <f t="shared" si="13"/>
        <v>18739.349999999999</v>
      </c>
      <c r="Z28" s="160">
        <f>IF(M28="","", VLOOKUP(B$6,rekenwaarden!M$8:T$12,3)*Q28)</f>
        <v>6617.4166666666661</v>
      </c>
      <c r="AA28" s="160">
        <f t="shared" si="14"/>
        <v>72791.583333333328</v>
      </c>
      <c r="AB28" s="160">
        <f>IF(M28="","", VLOOKUP($B$6,rekenwaarden!M$8:T$12,4)*Q28)</f>
        <v>11483.333333333332</v>
      </c>
      <c r="AC28" s="160">
        <f t="shared" si="15"/>
        <v>126316.66666666663</v>
      </c>
      <c r="AD28" s="160">
        <f t="shared" si="16"/>
        <v>31380.65</v>
      </c>
      <c r="AE28" s="160">
        <f t="shared" si="17"/>
        <v>2685.1500000000015</v>
      </c>
      <c r="AF28" s="160">
        <f t="shared" si="23"/>
        <v>0</v>
      </c>
      <c r="AG28" s="160">
        <f t="shared" si="18"/>
        <v>0</v>
      </c>
      <c r="AH28" s="161">
        <f t="shared" ca="1" si="19"/>
        <v>797.48955000000035</v>
      </c>
      <c r="AI28" s="161">
        <f t="shared" ca="1" si="24"/>
        <v>0</v>
      </c>
      <c r="AJ28" s="161"/>
      <c r="AK28" s="161"/>
      <c r="AL28" s="164">
        <f t="shared" ca="1" si="25"/>
        <v>797.48955000000035</v>
      </c>
    </row>
    <row r="29" spans="1:38" s="113" customFormat="1" ht="15.65" customHeight="1" x14ac:dyDescent="0.25">
      <c r="A29" s="125"/>
      <c r="B29" s="126"/>
      <c r="C29" s="200"/>
      <c r="D29" s="163">
        <f t="shared" si="20"/>
        <v>12</v>
      </c>
      <c r="E29" s="150" t="str">
        <f t="shared" si="20"/>
        <v>december</v>
      </c>
      <c r="F29" s="151">
        <f t="shared" si="20"/>
        <v>46722</v>
      </c>
      <c r="G29" s="151">
        <f t="shared" si="20"/>
        <v>46752</v>
      </c>
      <c r="H29" s="189">
        <f t="shared" si="1"/>
        <v>173</v>
      </c>
      <c r="I29" s="192">
        <f t="shared" si="2"/>
        <v>4320</v>
      </c>
      <c r="J29" s="189">
        <f>IF($E29="","",IF($E30="",SUM(H29:H$30),H29))</f>
        <v>173</v>
      </c>
      <c r="K29" s="192">
        <f>IF($E29="","",IF($E30="",SUM(I29:I$30),I29))</f>
        <v>4320</v>
      </c>
      <c r="L29" s="152">
        <f t="shared" si="3"/>
        <v>40</v>
      </c>
      <c r="M29" s="151">
        <f t="shared" si="4"/>
        <v>46722</v>
      </c>
      <c r="N29" s="151">
        <f t="shared" si="5"/>
        <v>46752</v>
      </c>
      <c r="O29" s="150">
        <f t="shared" si="21"/>
        <v>31</v>
      </c>
      <c r="P29" s="153">
        <f t="shared" si="6"/>
        <v>1</v>
      </c>
      <c r="Q29" s="154">
        <f t="shared" si="7"/>
        <v>8.3333333333333329E-2</v>
      </c>
      <c r="R29" s="155">
        <f t="shared" si="8"/>
        <v>173.33333333333334</v>
      </c>
      <c r="S29" s="156">
        <f t="shared" si="9"/>
        <v>54440</v>
      </c>
      <c r="T29" s="157">
        <f t="shared" si="10"/>
        <v>2156</v>
      </c>
      <c r="U29" s="157">
        <f t="shared" si="11"/>
        <v>2079.9999999999995</v>
      </c>
      <c r="V29" s="158">
        <f t="shared" si="22"/>
        <v>1.0365384615384619</v>
      </c>
      <c r="W29" s="159">
        <f>IF(M29="","",VLOOKUP($B$6,rekenwaarden!M$8:N$12,2))</f>
        <v>9.4499999999999993</v>
      </c>
      <c r="X29" s="160">
        <f t="shared" si="12"/>
        <v>1634.85</v>
      </c>
      <c r="Y29" s="160">
        <f t="shared" si="13"/>
        <v>20374.199999999997</v>
      </c>
      <c r="Z29" s="160">
        <f>IF(M29="","", VLOOKUP(B$6,rekenwaarden!M$8:T$12,3)*Q29)</f>
        <v>6617.4166666666661</v>
      </c>
      <c r="AA29" s="160">
        <f t="shared" si="14"/>
        <v>79409</v>
      </c>
      <c r="AB29" s="160">
        <f>IF(M29="","", VLOOKUP($B$6,rekenwaarden!M$8:T$12,4)*Q29)</f>
        <v>11483.333333333332</v>
      </c>
      <c r="AC29" s="160">
        <f t="shared" si="15"/>
        <v>137799.99999999997</v>
      </c>
      <c r="AD29" s="160">
        <f t="shared" si="16"/>
        <v>34065.800000000003</v>
      </c>
      <c r="AE29" s="160">
        <f t="shared" si="17"/>
        <v>2685.1500000000015</v>
      </c>
      <c r="AF29" s="160">
        <f t="shared" si="23"/>
        <v>0</v>
      </c>
      <c r="AG29" s="160">
        <f t="shared" si="18"/>
        <v>0</v>
      </c>
      <c r="AH29" s="161">
        <f t="shared" ca="1" si="19"/>
        <v>797.48955000000035</v>
      </c>
      <c r="AI29" s="161">
        <f t="shared" ca="1" si="24"/>
        <v>0</v>
      </c>
      <c r="AJ29" s="161"/>
      <c r="AK29" s="161"/>
      <c r="AL29" s="164">
        <f t="shared" ca="1" si="25"/>
        <v>797.48955000000035</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sheetData>
  <sheetProtection algorithmName="SHA-512" hashValue="kF58uaWfUlJ0haTpoTtoDnSiPcl7q8QLj4oRGldAwzMoRI6DfJTv/sEiRxa3imI8Mzs5HUacut28G1FpkD2t5g==" saltValue="yizLlLxdgTnjH1m/Kn2i4Q==" spinCount="100000" sheet="1" objects="1" scenarios="1"/>
  <protectedRanges>
    <protectedRange sqref="K2:U14" name="Loonaangiftebericht"/>
    <protectedRange sqref="B1:B9" name="Persoon en IKV"/>
  </protectedRanges>
  <mergeCells count="3">
    <mergeCell ref="A11:B11"/>
    <mergeCell ref="A12:B25"/>
    <mergeCell ref="D17:E17"/>
  </mergeCells>
  <dataValidations count="8">
    <dataValidation type="whole" allowBlank="1" showInputMessage="1" showErrorMessage="1" promptTitle="Handboek Loonheffingen: " prompt="Rekenkundig afgeronde hele uren" sqref="N2:N14" xr:uid="{91DC7E36-2090-4C49-9238-9248EE8F2116}">
      <formula1>-999</formula1>
      <formula2>999</formula2>
    </dataValidation>
    <dataValidation type="list" allowBlank="1" showInputMessage="1" showErrorMessage="1" sqref="K2:K14" xr:uid="{C9447C44-EAF4-406C-8E60-3B22658429CA}">
      <formula1>Code_Reden_Einde_Arbeidsverhouding</formula1>
    </dataValidation>
    <dataValidation type="list" allowBlank="1" showInputMessage="1" showErrorMessage="1" sqref="M2:M14" xr:uid="{56B04FFF-C4C6-47B3-BBAB-19664C428C1F}">
      <formula1>Code_Aard_Arbeidsverhouding</formula1>
    </dataValidation>
    <dataValidation type="list" allowBlank="1" showInputMessage="1" showErrorMessage="1" sqref="L2:L14" xr:uid="{7A75D1B0-A371-43C4-A427-4CF6614F4317}">
      <formula1>Code_Soort_IKV</formula1>
    </dataValidation>
    <dataValidation type="list" allowBlank="1" showInputMessage="1" showErrorMessage="1" sqref="C2" xr:uid="{0AC3EFDE-8916-40F0-B396-19769E28EBDE}">
      <formula1>"maandelijks,vierwekelijks"</formula1>
    </dataValidation>
    <dataValidation type="list" allowBlank="1" showInputMessage="1" showErrorMessage="1" sqref="B1:C1" xr:uid="{45919F65-AE05-4E4D-97E5-97C875E71A65}">
      <formula1>"2027,2028"</formula1>
    </dataValidation>
    <dataValidation type="list" allowBlank="1" showInputMessage="1" showErrorMessage="1" sqref="B8:C8" xr:uid="{833FA2D9-DEED-483D-A43D-269697729BAB}">
      <formula1>"WAAR,NIET WAAR"</formula1>
    </dataValidation>
    <dataValidation type="list" allowBlank="1" showInputMessage="1" showErrorMessage="1" sqref="B2" xr:uid="{0CF39A27-3BD5-4914-9CE1-67CD128ABDDE}">
      <formula1>"Maandelijks,Vierwekelijks"</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78B9D884-3EB3-459C-91A3-B5A3D534C746}">
          <x14:formula1>
            <xm:f>rekenwaarden!$M$8:$M$12</xm:f>
          </x14:formula1>
          <xm:sqref>B6:C6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DFF85-F475-45F0-B4D9-DAAC61FF8E4B}">
  <sheetPr>
    <tabColor theme="4" tint="0.39997558519241921"/>
  </sheetPr>
  <dimension ref="A1:AL30"/>
  <sheetViews>
    <sheetView showGridLines="0" zoomScale="90" zoomScaleNormal="90" workbookViewId="0">
      <pane xSplit="2" ySplit="30" topLeftCell="C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179687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8.1796875" customWidth="1"/>
    <col min="22" max="33" width="15.81640625" customWidth="1"/>
    <col min="34" max="34" width="19.453125" bestFit="1" customWidth="1"/>
    <col min="35" max="35" width="20.453125" customWidth="1"/>
    <col min="36" max="36" width="12.81640625" bestFit="1"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210" t="s">
        <v>18</v>
      </c>
      <c r="W1" s="211" t="s">
        <v>71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IF(OR(Datum_Einde_IKV="",Tabel13536151617[[#This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IF(Tabel13536151617[[#This Row],[Inkomsten-periode]]="","",DATEDIF(Geboortedatum,Tabel13536151617[[#This Row],[DatEindTv]],"Y"))</f>
        <v>33</v>
      </c>
      <c r="I2" s="146">
        <f>IF(Tabel13536151617[[#This Row],[Inkomsten-periode]]="","",IF(Datum_Aanvang_IKV="","",Datum_Aanvang_IKV))</f>
        <v>45658</v>
      </c>
      <c r="J2" s="146" t="str">
        <f>IF(Tabel13536151617[[#This Row],[Inkomsten-periode]]="","",IF(Datum_Einde_IKV="","",IF(Datum_Einde_IKV&lt;=Tabel13536151617[[#This Row],[DatEindTv]],Datum_Einde_IKV,"")))</f>
        <v/>
      </c>
      <c r="K2" s="138"/>
      <c r="L2" s="138">
        <v>15</v>
      </c>
      <c r="M2" s="138">
        <v>1</v>
      </c>
      <c r="N2" s="139">
        <v>138</v>
      </c>
      <c r="O2" s="140">
        <f>138*25</f>
        <v>3450</v>
      </c>
      <c r="P2" s="140">
        <v>320</v>
      </c>
      <c r="Q2" s="140">
        <v>320</v>
      </c>
      <c r="R2" s="140">
        <v>0</v>
      </c>
      <c r="S2" s="140">
        <v>0</v>
      </c>
      <c r="T2" s="140">
        <v>3450</v>
      </c>
      <c r="U2" s="140"/>
      <c r="V2" s="184">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Row],[OpnAvwb]],0))))</f>
        <v>3450</v>
      </c>
      <c r="W2" s="185">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Row],[AantVerlU]],0))))</f>
        <v>138</v>
      </c>
      <c r="X2" s="184"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f>
        <v/>
      </c>
      <c r="Y2" s="185"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f>
        <v/>
      </c>
    </row>
    <row r="3" spans="1:38" s="113" customFormat="1" ht="16.399999999999999" customHeight="1" x14ac:dyDescent="0.25">
      <c r="A3" s="122" t="s">
        <v>21</v>
      </c>
      <c r="B3" s="133">
        <v>34162</v>
      </c>
      <c r="C3" s="202"/>
      <c r="D3" s="145">
        <f>IF(OR(Datum_Einde_IKV&gt;G2,Datum_Einde_IKV=""),IF(AND($B$2="Maandelijks", COUNTIF($D$1:D2, 12)=1), "",IF(OR(AND($B$2="Maandelijks", D2=12),AND($B$2="Vierwekelijks", D2=13), D2 = "Periode"), 1, D2+1)),"")</f>
        <v>2</v>
      </c>
      <c r="E3" s="145" t="str">
        <f>IF(OR(Datum_Einde_IKV="",Tabel13536151617[[#This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IF(Tabel13536151617[[#This Row],[Inkomsten-periode]]="","",DATEDIF(Geboortedatum,Tabel13536151617[[#This Row],[DatEindTv]],"Y"))</f>
        <v>33</v>
      </c>
      <c r="I3" s="146">
        <f>IF(Tabel13536151617[[#This Row],[Inkomsten-periode]]="","",IF(Datum_Aanvang_IKV="","",Datum_Aanvang_IKV))</f>
        <v>45658</v>
      </c>
      <c r="J3" s="146" t="str">
        <f>IF(Tabel13536151617[[#This Row],[Inkomsten-periode]]="","",IF(Datum_Einde_IKV="","",IF(Datum_Einde_IKV&lt;=Tabel13536151617[[#This Row],[DatEindTv]],Datum_Einde_IKV,"")))</f>
        <v/>
      </c>
      <c r="K3" s="141"/>
      <c r="L3" s="141">
        <v>15</v>
      </c>
      <c r="M3" s="141">
        <v>1</v>
      </c>
      <c r="N3" s="142">
        <v>138</v>
      </c>
      <c r="O3" s="143">
        <v>3450</v>
      </c>
      <c r="P3" s="143">
        <v>320</v>
      </c>
      <c r="Q3" s="143">
        <v>320</v>
      </c>
      <c r="R3" s="143">
        <v>0</v>
      </c>
      <c r="S3" s="143">
        <v>0</v>
      </c>
      <c r="T3" s="143">
        <v>3450</v>
      </c>
      <c r="U3" s="143"/>
      <c r="V3" s="184">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Row],[OpnAvwb]],0))))</f>
        <v>3450</v>
      </c>
      <c r="W3" s="186">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Row],[AantVerlU]],0))))</f>
        <v>138</v>
      </c>
      <c r="X3" s="184"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f>
        <v/>
      </c>
      <c r="Y3" s="186"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f>
        <v/>
      </c>
    </row>
    <row r="4" spans="1:38" s="113" customFormat="1" ht="16.399999999999999" customHeight="1" x14ac:dyDescent="0.25">
      <c r="A4" s="122" t="s">
        <v>22</v>
      </c>
      <c r="B4" s="134">
        <v>45658</v>
      </c>
      <c r="C4" s="202"/>
      <c r="D4" s="144">
        <f>IF(OR(Datum_Einde_IKV&gt;G3,Datum_Einde_IKV=""),IF(AND($B$2="Maandelijks", COUNTIF($D$1:D3, 12)=1), "",IF(OR(AND($B$2="Maandelijks", D3=12),AND($B$2="Vierwekelijks", D3=13), D3 = "Periode"), 1, D3+1)),"")</f>
        <v>3</v>
      </c>
      <c r="E4" s="145" t="str">
        <f>IF(OR(Datum_Einde_IKV="",Tabel13536151617[[#This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IF(Tabel13536151617[[#This Row],[Inkomsten-periode]]="","",DATEDIF(Geboortedatum,Tabel13536151617[[#This Row],[DatEindTv]],"Y"))</f>
        <v>33</v>
      </c>
      <c r="I4" s="146">
        <f>IF(Tabel13536151617[[#This Row],[Inkomsten-periode]]="","",IF(Datum_Aanvang_IKV="","",Datum_Aanvang_IKV))</f>
        <v>45658</v>
      </c>
      <c r="J4" s="146" t="str">
        <f>IF(Tabel13536151617[[#This Row],[Inkomsten-periode]]="","",IF(Datum_Einde_IKV="","",IF(Datum_Einde_IKV&lt;=Tabel13536151617[[#This Row],[DatEindTv]],Datum_Einde_IKV,"")))</f>
        <v/>
      </c>
      <c r="K4" s="138"/>
      <c r="L4" s="138">
        <v>15</v>
      </c>
      <c r="M4" s="138">
        <v>1</v>
      </c>
      <c r="N4" s="139">
        <v>138</v>
      </c>
      <c r="O4" s="140">
        <v>3450</v>
      </c>
      <c r="P4" s="140">
        <v>320</v>
      </c>
      <c r="Q4" s="140">
        <v>320</v>
      </c>
      <c r="R4" s="140">
        <v>0</v>
      </c>
      <c r="S4" s="140">
        <v>0</v>
      </c>
      <c r="T4" s="140">
        <v>3450</v>
      </c>
      <c r="U4" s="140"/>
      <c r="V4" s="184">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Row],[OpnAvwb]],0))))</f>
        <v>3450</v>
      </c>
      <c r="W4" s="186">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Row],[AantVerlU]],0))))</f>
        <v>138</v>
      </c>
      <c r="X4" s="184"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f>
        <v/>
      </c>
      <c r="Y4" s="186"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f>
        <v/>
      </c>
    </row>
    <row r="5" spans="1:38" s="113" customFormat="1" ht="16.399999999999999" customHeight="1" x14ac:dyDescent="0.25">
      <c r="A5" s="122" t="s">
        <v>23</v>
      </c>
      <c r="B5" s="133"/>
      <c r="C5" s="202"/>
      <c r="D5" s="145">
        <f>IF(OR(Datum_Einde_IKV&gt;G4,Datum_Einde_IKV=""),IF(AND($B$2="Maandelijks", COUNTIF($D$1:D4, 12)=1), "",IF(OR(AND($B$2="Maandelijks", D4=12),AND($B$2="Vierwekelijks", D4=13), D4 = "Periode"), 1, D4+1)),"")</f>
        <v>4</v>
      </c>
      <c r="E5" s="145" t="str">
        <f>IF(OR(Datum_Einde_IKV="",Tabel13536151617[[#This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IF(Tabel13536151617[[#This Row],[Inkomsten-periode]]="","",DATEDIF(Geboortedatum,Tabel13536151617[[#This Row],[DatEindTv]],"Y"))</f>
        <v>33</v>
      </c>
      <c r="I5" s="146">
        <f>IF(Tabel13536151617[[#This Row],[Inkomsten-periode]]="","",IF(Datum_Aanvang_IKV="","",Datum_Aanvang_IKV))</f>
        <v>45658</v>
      </c>
      <c r="J5" s="146" t="str">
        <f>IF(Tabel13536151617[[#This Row],[Inkomsten-periode]]="","",IF(Datum_Einde_IKV="","",IF(Datum_Einde_IKV&lt;=Tabel13536151617[[#This Row],[DatEindTv]],Datum_Einde_IKV,"")))</f>
        <v/>
      </c>
      <c r="K5" s="141"/>
      <c r="L5" s="141">
        <v>15</v>
      </c>
      <c r="M5" s="141">
        <v>1</v>
      </c>
      <c r="N5" s="142">
        <v>138</v>
      </c>
      <c r="O5" s="143">
        <v>3450</v>
      </c>
      <c r="P5" s="143">
        <v>320</v>
      </c>
      <c r="Q5" s="143">
        <v>320</v>
      </c>
      <c r="R5" s="143">
        <v>0</v>
      </c>
      <c r="S5" s="143">
        <v>0</v>
      </c>
      <c r="T5" s="143">
        <v>3450</v>
      </c>
      <c r="U5" s="143"/>
      <c r="V5" s="184">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Row],[OpnAvwb]],0))))</f>
        <v>3450</v>
      </c>
      <c r="W5" s="186">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Row],[AantVerlU]],0))))</f>
        <v>138</v>
      </c>
      <c r="X5" s="184"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f>
        <v/>
      </c>
      <c r="Y5" s="186"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f>
        <v/>
      </c>
    </row>
    <row r="6" spans="1:38" s="113" customFormat="1" ht="16.399999999999999" customHeight="1" x14ac:dyDescent="0.25">
      <c r="A6" s="122" t="s">
        <v>24</v>
      </c>
      <c r="B6" s="135" t="s">
        <v>180</v>
      </c>
      <c r="C6" s="203"/>
      <c r="D6" s="144">
        <f>IF(OR(Datum_Einde_IKV&gt;G5,Datum_Einde_IKV=""),IF(AND($B$2="Maandelijks", COUNTIF($D$1:D5, 12)=1), "",IF(OR(AND($B$2="Maandelijks", D5=12),AND($B$2="Vierwekelijks", D5=13), D5 = "Periode"), 1, D5+1)),"")</f>
        <v>5</v>
      </c>
      <c r="E6" s="145" t="str">
        <f>IF(OR(Datum_Einde_IKV="",Tabel13536151617[[#This Row],[DatAanvTv]]&lt;Datum_Einde_IKV),IF(E5="december","",IF(Verloningsperiodiciteit="maandelijks",rekenwaarden!F7,_xlfn.CONCAT("Periode ",rekenwaarden!E7))),"")</f>
        <v>mei</v>
      </c>
      <c r="F6" s="146">
        <f t="shared" si="0"/>
        <v>46508</v>
      </c>
      <c r="G6" s="146">
        <f>IF(F6="", "", IF(Verloningsperiodiciteit="Vierwekelijks", _xlfn.XLOOKUP(F6,rekenwaarden!$C$3:$C$54,rekenwaarden!$D$3:$D$54,"niet gevonden",-1), _xlfn.XLOOKUP(F6,rekenwaarden!$I$3:$I$54,rekenwaarden!$J$3:$J$54,"niet gevonden",-1)))</f>
        <v>46538</v>
      </c>
      <c r="H6" s="147">
        <f>IF(Tabel13536151617[[#This Row],[Inkomsten-periode]]="","",DATEDIF(Geboortedatum,Tabel13536151617[[#This Row],[DatEindTv]],"Y"))</f>
        <v>33</v>
      </c>
      <c r="I6" s="146">
        <f>IF(Tabel13536151617[[#This Row],[Inkomsten-periode]]="","",IF(Datum_Aanvang_IKV="","",Datum_Aanvang_IKV))</f>
        <v>45658</v>
      </c>
      <c r="J6" s="146" t="str">
        <f>IF(Tabel13536151617[[#This Row],[Inkomsten-periode]]="","",IF(Datum_Einde_IKV="","",IF(Datum_Einde_IKV&lt;=Tabel13536151617[[#This Row],[DatEindTv]],Datum_Einde_IKV,"")))</f>
        <v/>
      </c>
      <c r="K6" s="138"/>
      <c r="L6" s="138">
        <v>15</v>
      </c>
      <c r="M6" s="138">
        <v>1</v>
      </c>
      <c r="N6" s="139">
        <v>138</v>
      </c>
      <c r="O6" s="140">
        <v>3450</v>
      </c>
      <c r="P6" s="140">
        <v>320</v>
      </c>
      <c r="Q6" s="140">
        <v>320</v>
      </c>
      <c r="R6" s="140">
        <v>0</v>
      </c>
      <c r="S6" s="140">
        <v>0</v>
      </c>
      <c r="T6" s="140">
        <v>3450</v>
      </c>
      <c r="U6" s="140"/>
      <c r="V6" s="184">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Row],[OpnAvwb]],0))))</f>
        <v>3450</v>
      </c>
      <c r="W6" s="186">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Row],[AantVerlU]],0))))</f>
        <v>138</v>
      </c>
      <c r="X6" s="184"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f>
        <v/>
      </c>
      <c r="Y6" s="186"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f>
        <v/>
      </c>
    </row>
    <row r="7" spans="1:38" s="113" customFormat="1" ht="16.399999999999999" customHeight="1" x14ac:dyDescent="0.25">
      <c r="A7" s="122" t="s">
        <v>26</v>
      </c>
      <c r="B7" s="136">
        <f>VLOOKUP(B6,rekenwaarden!M8:T12,8)</f>
        <v>40</v>
      </c>
      <c r="C7" s="204"/>
      <c r="D7" s="145">
        <f>IF(OR(Datum_Einde_IKV&gt;G6,Datum_Einde_IKV=""),IF(AND($B$2="Maandelijks", COUNTIF($D$1:D6, 12)=1), "",IF(OR(AND($B$2="Maandelijks", D6=12),AND($B$2="Vierwekelijks", D6=13), D6 = "Periode"), 1, D6+1)),"")</f>
        <v>6</v>
      </c>
      <c r="E7" s="145" t="str">
        <f>IF(OR(Datum_Einde_IKV="",Tabel13536151617[[#This Row],[DatAanvTv]]&lt;Datum_Einde_IKV),IF(E6="december","",IF(Verloningsperiodiciteit="maandelijks",rekenwaarden!F8,_xlfn.CONCAT("Periode ",rekenwaarden!E8))),"")</f>
        <v>juni</v>
      </c>
      <c r="F7" s="146">
        <f t="shared" si="0"/>
        <v>46539</v>
      </c>
      <c r="G7" s="146">
        <f>IF(F7="", "", IF(Verloningsperiodiciteit="Vierwekelijks", _xlfn.XLOOKUP(F7,rekenwaarden!$C$3:$C$54,rekenwaarden!$D$3:$D$54,"niet gevonden",-1), _xlfn.XLOOKUP(F7,rekenwaarden!$I$3:$I$54,rekenwaarden!$J$3:$J$54,"niet gevonden",-1)))</f>
        <v>46568</v>
      </c>
      <c r="H7" s="147">
        <f>IF(Tabel13536151617[[#This Row],[Inkomsten-periode]]="","",DATEDIF(Geboortedatum,Tabel13536151617[[#This Row],[DatEindTv]],"Y"))</f>
        <v>33</v>
      </c>
      <c r="I7" s="146">
        <f>IF(Tabel13536151617[[#This Row],[Inkomsten-periode]]="","",IF(Datum_Aanvang_IKV="","",Datum_Aanvang_IKV))</f>
        <v>45658</v>
      </c>
      <c r="J7" s="146" t="str">
        <f>IF(Tabel13536151617[[#This Row],[Inkomsten-periode]]="","",IF(Datum_Einde_IKV="","",IF(Datum_Einde_IKV&lt;=Tabel13536151617[[#This Row],[DatEindTv]],Datum_Einde_IKV,"")))</f>
        <v/>
      </c>
      <c r="K7" s="141"/>
      <c r="L7" s="141">
        <v>15</v>
      </c>
      <c r="M7" s="141">
        <v>1</v>
      </c>
      <c r="N7" s="142">
        <v>138</v>
      </c>
      <c r="O7" s="143">
        <v>3450</v>
      </c>
      <c r="P7" s="143">
        <v>320</v>
      </c>
      <c r="Q7" s="143">
        <v>320</v>
      </c>
      <c r="R7" s="143">
        <v>0</v>
      </c>
      <c r="S7" s="143">
        <v>0</v>
      </c>
      <c r="T7" s="143">
        <v>3450</v>
      </c>
      <c r="U7" s="143"/>
      <c r="V7" s="184">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Row],[OpnAvwb]],0))))</f>
        <v>3450</v>
      </c>
      <c r="W7" s="186">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Row],[AantVerlU]],0))))</f>
        <v>138</v>
      </c>
      <c r="X7" s="184"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f>
        <v/>
      </c>
      <c r="Y7" s="186"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f>
        <v/>
      </c>
    </row>
    <row r="8" spans="1:38" s="113" customFormat="1" ht="16.399999999999999" customHeight="1" x14ac:dyDescent="0.25">
      <c r="A8" s="122" t="s">
        <v>27</v>
      </c>
      <c r="B8" s="137" t="b">
        <v>1</v>
      </c>
      <c r="C8" s="202"/>
      <c r="D8" s="144">
        <f>IF(OR(Datum_Einde_IKV&gt;G7,Datum_Einde_IKV=""),IF(AND($B$2="Maandelijks", COUNTIF($D$1:D7, 12)=1), "",IF(OR(AND($B$2="Maandelijks", D7=12),AND($B$2="Vierwekelijks", D7=13), D7 = "Periode"), 1, D7+1)),"")</f>
        <v>7</v>
      </c>
      <c r="E8" s="145" t="str">
        <f>IF(OR(Datum_Einde_IKV="",Tabel13536151617[[#This Row],[DatAanvTv]]&lt;Datum_Einde_IKV),IF(E7="december","",IF(Verloningsperiodiciteit="maandelijks",rekenwaarden!F9,_xlfn.CONCAT("Periode ",rekenwaarden!E9))),"")</f>
        <v>juli</v>
      </c>
      <c r="F8" s="146">
        <f t="shared" si="0"/>
        <v>46569</v>
      </c>
      <c r="G8" s="146">
        <f>IF(F8="", "", IF(Verloningsperiodiciteit="Vierwekelijks", _xlfn.XLOOKUP(F8,rekenwaarden!$C$3:$C$54,rekenwaarden!$D$3:$D$54,"niet gevonden",-1), _xlfn.XLOOKUP(F8,rekenwaarden!$I$3:$I$54,rekenwaarden!$J$3:$J$54,"niet gevonden",-1)))</f>
        <v>46599</v>
      </c>
      <c r="H8" s="147">
        <f>IF(Tabel13536151617[[#This Row],[Inkomsten-periode]]="","",DATEDIF(Geboortedatum,Tabel13536151617[[#This Row],[DatEindTv]],"Y"))</f>
        <v>34</v>
      </c>
      <c r="I8" s="146">
        <f>IF(Tabel13536151617[[#This Row],[Inkomsten-periode]]="","",IF(Datum_Aanvang_IKV="","",Datum_Aanvang_IKV))</f>
        <v>45658</v>
      </c>
      <c r="J8" s="146" t="str">
        <f>IF(Tabel13536151617[[#This Row],[Inkomsten-periode]]="","",IF(Datum_Einde_IKV="","",IF(Datum_Einde_IKV&lt;=Tabel13536151617[[#This Row],[DatEindTv]],Datum_Einde_IKV,"")))</f>
        <v/>
      </c>
      <c r="K8" s="138"/>
      <c r="L8" s="138">
        <v>15</v>
      </c>
      <c r="M8" s="138">
        <v>1</v>
      </c>
      <c r="N8" s="139">
        <f>138+40</f>
        <v>178</v>
      </c>
      <c r="O8" s="140">
        <f>3450+40*25*1.3</f>
        <v>4750</v>
      </c>
      <c r="P8" s="140">
        <v>320</v>
      </c>
      <c r="Q8" s="140">
        <v>320</v>
      </c>
      <c r="R8" s="140">
        <v>0</v>
      </c>
      <c r="S8" s="140">
        <v>0</v>
      </c>
      <c r="T8" s="140">
        <v>4750</v>
      </c>
      <c r="U8" s="140"/>
      <c r="V8" s="184">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Row],[OpnAvwb]],0))))</f>
        <v>4750</v>
      </c>
      <c r="W8" s="186">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Row],[AantVerlU]],0))))</f>
        <v>178</v>
      </c>
      <c r="X8" s="184"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f>
        <v/>
      </c>
      <c r="Y8" s="186"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f>
        <v/>
      </c>
    </row>
    <row r="9" spans="1:38" s="113" customFormat="1" ht="16.399999999999999" customHeight="1" x14ac:dyDescent="0.25">
      <c r="A9" s="122"/>
      <c r="B9" s="131"/>
      <c r="C9" s="200"/>
      <c r="D9" s="145">
        <f>IF(OR(Datum_Einde_IKV&gt;G8,Datum_Einde_IKV=""),IF(AND($B$2="Maandelijks", COUNTIF($D$1:D8, 12)=1), "",IF(OR(AND($B$2="Maandelijks", D8=12),AND($B$2="Vierwekelijks", D8=13), D8 = "Periode"), 1, D8+1)),"")</f>
        <v>8</v>
      </c>
      <c r="E9" s="145" t="str">
        <f>IF(OR(Datum_Einde_IKV="",Tabel13536151617[[#This Row],[DatAanvTv]]&lt;Datum_Einde_IKV),IF(E8="december","",IF(Verloningsperiodiciteit="maandelijks",rekenwaarden!F10,_xlfn.CONCAT("Periode ",rekenwaarden!E10))),"")</f>
        <v>augustus</v>
      </c>
      <c r="F9" s="146">
        <f t="shared" si="0"/>
        <v>46600</v>
      </c>
      <c r="G9" s="146">
        <f>IF(F9="", "", IF(Verloningsperiodiciteit="Vierwekelijks", _xlfn.XLOOKUP(F9,rekenwaarden!$C$3:$C$54,rekenwaarden!$D$3:$D$54,"niet gevonden",-1), _xlfn.XLOOKUP(F9,rekenwaarden!$I$3:$I$54,rekenwaarden!$J$3:$J$54,"niet gevonden",-1)))</f>
        <v>46630</v>
      </c>
      <c r="H9" s="147">
        <f>IF(Tabel13536151617[[#This Row],[Inkomsten-periode]]="","",DATEDIF(Geboortedatum,Tabel13536151617[[#This Row],[DatEindTv]],"Y"))</f>
        <v>34</v>
      </c>
      <c r="I9" s="146">
        <f>IF(Tabel13536151617[[#This Row],[Inkomsten-periode]]="","",IF(Datum_Aanvang_IKV="","",Datum_Aanvang_IKV))</f>
        <v>45658</v>
      </c>
      <c r="J9" s="146" t="str">
        <f>IF(Tabel13536151617[[#This Row],[Inkomsten-periode]]="","",IF(Datum_Einde_IKV="","",IF(Datum_Einde_IKV&lt;=Tabel13536151617[[#This Row],[DatEindTv]],Datum_Einde_IKV,"")))</f>
        <v/>
      </c>
      <c r="K9" s="141"/>
      <c r="L9" s="141">
        <v>15</v>
      </c>
      <c r="M9" s="141">
        <v>1</v>
      </c>
      <c r="N9" s="142">
        <f>138+40</f>
        <v>178</v>
      </c>
      <c r="O9" s="143">
        <v>4750</v>
      </c>
      <c r="P9" s="143">
        <v>320</v>
      </c>
      <c r="Q9" s="143">
        <v>320</v>
      </c>
      <c r="R9" s="143">
        <v>0</v>
      </c>
      <c r="S9" s="143">
        <v>0</v>
      </c>
      <c r="T9" s="143">
        <v>4750</v>
      </c>
      <c r="U9" s="143"/>
      <c r="V9" s="184">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Row],[OpnAvwb]],0))))</f>
        <v>4750</v>
      </c>
      <c r="W9" s="186">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Row],[AantVerlU]],0))))</f>
        <v>178</v>
      </c>
      <c r="X9" s="184"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f>
        <v/>
      </c>
      <c r="Y9" s="186"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f>
        <v/>
      </c>
    </row>
    <row r="10" spans="1:38" s="113" customFormat="1" ht="16.399999999999999" customHeight="1" thickBot="1" x14ac:dyDescent="0.3">
      <c r="A10" s="200"/>
      <c r="B10" s="200"/>
      <c r="C10" s="200"/>
      <c r="D10" s="144">
        <f>IF(OR(Datum_Einde_IKV&gt;G9,Datum_Einde_IKV=""),IF(AND($B$2="Maandelijks", COUNTIF($D$1:D9, 12)=1), "",IF(OR(AND($B$2="Maandelijks", D9=12),AND($B$2="Vierwekelijks", D9=13), D9 = "Periode"), 1, D9+1)),"")</f>
        <v>9</v>
      </c>
      <c r="E10" s="145" t="str">
        <f>IF(OR(Datum_Einde_IKV="",Tabel13536151617[[#This Row],[DatAanvTv]]&lt;Datum_Einde_IKV),IF(E9="december","",IF(Verloningsperiodiciteit="maandelijks",rekenwaarden!F11,_xlfn.CONCAT("Periode ",rekenwaarden!E11))),"")</f>
        <v>september</v>
      </c>
      <c r="F10" s="146">
        <f t="shared" si="0"/>
        <v>46631</v>
      </c>
      <c r="G10" s="146">
        <f>IF(F10="", "", IF(Verloningsperiodiciteit="Vierwekelijks", _xlfn.XLOOKUP(F10,rekenwaarden!$C$3:$C$54,rekenwaarden!$D$3:$D$54,"niet gevonden",-1), _xlfn.XLOOKUP(F10,rekenwaarden!$I$3:$I$54,rekenwaarden!$J$3:$J$54,"niet gevonden",-1)))</f>
        <v>46660</v>
      </c>
      <c r="H10" s="147">
        <f>IF(Tabel13536151617[[#This Row],[Inkomsten-periode]]="","",DATEDIF(Geboortedatum,Tabel13536151617[[#This Row],[DatEindTv]],"Y"))</f>
        <v>34</v>
      </c>
      <c r="I10" s="146">
        <f>IF(Tabel13536151617[[#This Row],[Inkomsten-periode]]="","",IF(Datum_Aanvang_IKV="","",Datum_Aanvang_IKV))</f>
        <v>45658</v>
      </c>
      <c r="J10" s="146" t="str">
        <f>IF(Tabel13536151617[[#This Row],[Inkomsten-periode]]="","",IF(Datum_Einde_IKV="","",IF(Datum_Einde_IKV&lt;=Tabel13536151617[[#This Row],[DatEindTv]],Datum_Einde_IKV,"")))</f>
        <v/>
      </c>
      <c r="K10" s="138"/>
      <c r="L10" s="138">
        <v>15</v>
      </c>
      <c r="M10" s="138">
        <v>1</v>
      </c>
      <c r="N10" s="139">
        <v>138</v>
      </c>
      <c r="O10" s="140">
        <v>3450</v>
      </c>
      <c r="P10" s="140">
        <v>320</v>
      </c>
      <c r="Q10" s="140">
        <v>320</v>
      </c>
      <c r="R10" s="140">
        <v>0</v>
      </c>
      <c r="S10" s="140">
        <v>0</v>
      </c>
      <c r="T10" s="140">
        <v>3450</v>
      </c>
      <c r="U10" s="140"/>
      <c r="V10" s="184">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Row],[OpnAvwb]],0))))</f>
        <v>3450</v>
      </c>
      <c r="W10" s="186">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Row],[AantVerlU]],0))))</f>
        <v>138</v>
      </c>
      <c r="X10" s="184"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f>
        <v/>
      </c>
      <c r="Y10" s="186"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f>
        <v/>
      </c>
    </row>
    <row r="11" spans="1:38" s="113" customFormat="1" ht="16.399999999999999" customHeight="1" x14ac:dyDescent="0.25">
      <c r="A11" s="245" t="s">
        <v>65</v>
      </c>
      <c r="B11" s="246"/>
      <c r="C11" s="200"/>
      <c r="D11" s="145">
        <f>IF(OR(Datum_Einde_IKV&gt;G10,Datum_Einde_IKV=""),IF(AND($B$2="Maandelijks", COUNTIF($D$1:D10, 12)=1), "",IF(OR(AND($B$2="Maandelijks", D10=12),AND($B$2="Vierwekelijks", D10=13), D10 = "Periode"), 1, D10+1)),"")</f>
        <v>10</v>
      </c>
      <c r="E11" s="145" t="str">
        <f>IF(OR(Datum_Einde_IKV="",Tabel13536151617[[#This Row],[DatAanvTv]]&lt;Datum_Einde_IKV),IF(E10="december","",IF(Verloningsperiodiciteit="maandelijks",rekenwaarden!F12,_xlfn.CONCAT("Periode ",rekenwaarden!E12))),"")</f>
        <v>oktober</v>
      </c>
      <c r="F11" s="146">
        <f t="shared" si="0"/>
        <v>46661</v>
      </c>
      <c r="G11" s="146">
        <f>IF(F11="", "", IF(Verloningsperiodiciteit="Vierwekelijks", _xlfn.XLOOKUP(F11,rekenwaarden!$C$3:$C$54,rekenwaarden!$D$3:$D$54,"niet gevonden",-1), _xlfn.XLOOKUP(F11,rekenwaarden!$I$3:$I$54,rekenwaarden!$J$3:$J$54,"niet gevonden",-1)))</f>
        <v>46691</v>
      </c>
      <c r="H11" s="147">
        <f>IF(Tabel13536151617[[#This Row],[Inkomsten-periode]]="","",DATEDIF(Geboortedatum,Tabel13536151617[[#This Row],[DatEindTv]],"Y"))</f>
        <v>34</v>
      </c>
      <c r="I11" s="146">
        <f>IF(Tabel13536151617[[#This Row],[Inkomsten-periode]]="","",IF(Datum_Aanvang_IKV="","",Datum_Aanvang_IKV))</f>
        <v>45658</v>
      </c>
      <c r="J11" s="146" t="str">
        <f>IF(Tabel13536151617[[#This Row],[Inkomsten-periode]]="","",IF(Datum_Einde_IKV="","",IF(Datum_Einde_IKV&lt;=Tabel13536151617[[#This Row],[DatEindTv]],Datum_Einde_IKV,"")))</f>
        <v/>
      </c>
      <c r="K11" s="141"/>
      <c r="L11" s="141">
        <v>15</v>
      </c>
      <c r="M11" s="141">
        <v>1</v>
      </c>
      <c r="N11" s="142">
        <v>138</v>
      </c>
      <c r="O11" s="143">
        <v>3450</v>
      </c>
      <c r="P11" s="143">
        <v>320</v>
      </c>
      <c r="Q11" s="143">
        <v>320</v>
      </c>
      <c r="R11" s="143">
        <v>0</v>
      </c>
      <c r="S11" s="143">
        <v>0</v>
      </c>
      <c r="T11" s="143">
        <v>3450</v>
      </c>
      <c r="U11" s="143"/>
      <c r="V11" s="184">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Row],[OpnAvwb]],0))))</f>
        <v>3450</v>
      </c>
      <c r="W11" s="186">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Row],[AantVerlU]],0))))</f>
        <v>138</v>
      </c>
      <c r="X11" s="184"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f>
        <v/>
      </c>
      <c r="Y11" s="186"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f>
        <v/>
      </c>
    </row>
    <row r="12" spans="1:38" s="113" customFormat="1" ht="16.399999999999999" customHeight="1" x14ac:dyDescent="0.25">
      <c r="A12" s="249" t="s">
        <v>182</v>
      </c>
      <c r="B12" s="250"/>
      <c r="C12" s="200"/>
      <c r="D12" s="144">
        <f>IF(OR(Datum_Einde_IKV&gt;G11,Datum_Einde_IKV=""),IF(AND($B$2="Maandelijks", COUNTIF($D$1:D11, 12)=1), "",IF(OR(AND($B$2="Maandelijks", D11=12),AND($B$2="Vierwekelijks", D11=13), D11 = "Periode"), 1, D11+1)),"")</f>
        <v>11</v>
      </c>
      <c r="E12" s="145" t="str">
        <f>IF(OR(Datum_Einde_IKV="",Tabel13536151617[[#This Row],[DatAanvTv]]&lt;Datum_Einde_IKV),IF(E11="december","",IF(Verloningsperiodiciteit="maandelijks",rekenwaarden!F13,_xlfn.CONCAT("Periode ",rekenwaarden!E13))),"")</f>
        <v>november</v>
      </c>
      <c r="F12" s="146">
        <f t="shared" si="0"/>
        <v>46692</v>
      </c>
      <c r="G12" s="146">
        <f>IF(F12="", "", IF(Verloningsperiodiciteit="Vierwekelijks", _xlfn.XLOOKUP(F12,rekenwaarden!$C$3:$C$54,rekenwaarden!$D$3:$D$54,"niet gevonden",-1), _xlfn.XLOOKUP(F12,rekenwaarden!$I$3:$I$54,rekenwaarden!$J$3:$J$54,"niet gevonden",-1)))</f>
        <v>46721</v>
      </c>
      <c r="H12" s="147">
        <f>IF(Tabel13536151617[[#This Row],[Inkomsten-periode]]="","",DATEDIF(Geboortedatum,Tabel13536151617[[#This Row],[DatEindTv]],"Y"))</f>
        <v>34</v>
      </c>
      <c r="I12" s="146">
        <f>IF(Tabel13536151617[[#This Row],[Inkomsten-periode]]="","",IF(Datum_Aanvang_IKV="","",Datum_Aanvang_IKV))</f>
        <v>45658</v>
      </c>
      <c r="J12" s="146" t="str">
        <f>IF(Tabel13536151617[[#This Row],[Inkomsten-periode]]="","",IF(Datum_Einde_IKV="","",IF(Datum_Einde_IKV&lt;=Tabel13536151617[[#This Row],[DatEindTv]],Datum_Einde_IKV,"")))</f>
        <v/>
      </c>
      <c r="K12" s="138"/>
      <c r="L12" s="138">
        <v>15</v>
      </c>
      <c r="M12" s="138">
        <v>1</v>
      </c>
      <c r="N12" s="139">
        <v>138</v>
      </c>
      <c r="O12" s="140">
        <v>3450</v>
      </c>
      <c r="P12" s="140">
        <v>320</v>
      </c>
      <c r="Q12" s="140">
        <v>320</v>
      </c>
      <c r="R12" s="140">
        <v>0</v>
      </c>
      <c r="S12" s="140">
        <v>0</v>
      </c>
      <c r="T12" s="140">
        <v>3450</v>
      </c>
      <c r="U12" s="140"/>
      <c r="V12" s="184">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Row],[OpnAvwb]],0))))</f>
        <v>3450</v>
      </c>
      <c r="W12" s="186">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Row],[AantVerlU]],0))))</f>
        <v>138</v>
      </c>
      <c r="X12" s="184"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f>
        <v/>
      </c>
      <c r="Y12" s="186"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f>
        <v/>
      </c>
    </row>
    <row r="13" spans="1:38" s="113" customFormat="1" ht="16.399999999999999" customHeight="1" x14ac:dyDescent="0.25">
      <c r="A13" s="249"/>
      <c r="B13" s="250"/>
      <c r="C13" s="200"/>
      <c r="D13" s="145">
        <f>IF(OR(Datum_Einde_IKV&gt;G12,Datum_Einde_IKV=""),IF(AND($B$2="Maandelijks", COUNTIF($D$1:D12, 12)=1), "",IF(OR(AND($B$2="Maandelijks", D12=12),AND($B$2="Vierwekelijks", D12=13), D12 = "Periode"), 1, D12+1)),"")</f>
        <v>12</v>
      </c>
      <c r="E13" s="145" t="str">
        <f>IF(OR(Datum_Einde_IKV="",Tabel13536151617[[#This Row],[DatAanvTv]]&lt;Datum_Einde_IKV),IF(E12="december","",IF(Verloningsperiodiciteit="maandelijks",rekenwaarden!F14,_xlfn.CONCAT("Periode ",rekenwaarden!E14))),"")</f>
        <v>december</v>
      </c>
      <c r="F13" s="146">
        <f t="shared" si="0"/>
        <v>46722</v>
      </c>
      <c r="G13" s="146">
        <f>IF(F13="", "", IF(Verloningsperiodiciteit="Vierwekelijks", _xlfn.XLOOKUP(F13,rekenwaarden!$C$3:$C$54,rekenwaarden!$D$3:$D$54,"niet gevonden",-1), _xlfn.XLOOKUP(F13,rekenwaarden!$I$3:$I$54,rekenwaarden!$J$3:$J$54,"niet gevonden",-1)))</f>
        <v>46752</v>
      </c>
      <c r="H13" s="147">
        <f>IF(Tabel13536151617[[#This Row],[Inkomsten-periode]]="","",DATEDIF(Geboortedatum,Tabel13536151617[[#This Row],[DatEindTv]],"Y"))</f>
        <v>34</v>
      </c>
      <c r="I13" s="146">
        <f>IF(Tabel13536151617[[#This Row],[Inkomsten-periode]]="","",IF(Datum_Aanvang_IKV="","",Datum_Aanvang_IKV))</f>
        <v>45658</v>
      </c>
      <c r="J13" s="146" t="str">
        <f>IF(Tabel13536151617[[#This Row],[Inkomsten-periode]]="","",IF(Datum_Einde_IKV="","",IF(Datum_Einde_IKV&lt;=Tabel13536151617[[#This Row],[DatEindTv]],Datum_Einde_IKV,"")))</f>
        <v/>
      </c>
      <c r="K13" s="141"/>
      <c r="L13" s="141">
        <v>15</v>
      </c>
      <c r="M13" s="141">
        <v>1</v>
      </c>
      <c r="N13" s="142">
        <v>138</v>
      </c>
      <c r="O13" s="143">
        <v>3450</v>
      </c>
      <c r="P13" s="143">
        <v>320</v>
      </c>
      <c r="Q13" s="143">
        <v>320</v>
      </c>
      <c r="R13" s="143">
        <v>0</v>
      </c>
      <c r="S13" s="143">
        <v>0</v>
      </c>
      <c r="T13" s="143">
        <v>3450</v>
      </c>
      <c r="U13" s="143"/>
      <c r="V13" s="184">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Row],[OpnAvwb]],0))))</f>
        <v>3450</v>
      </c>
      <c r="W13" s="186">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Row],[AantVerlU]],0))))</f>
        <v>138</v>
      </c>
      <c r="X13" s="184"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f>
        <v/>
      </c>
      <c r="Y13" s="186"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f>
        <v/>
      </c>
    </row>
    <row r="14" spans="1:38" s="113" customFormat="1" ht="16.399999999999999" customHeight="1" x14ac:dyDescent="0.25">
      <c r="A14" s="249"/>
      <c r="B14" s="250"/>
      <c r="C14" s="200"/>
      <c r="D14" s="144" t="str">
        <f>IF(OR(Datum_Einde_IKV&gt;G13,Datum_Einde_IKV=""),IF(AND($B$2="Maandelijks", COUNTIF($D$1:D13, 12)=1), "",IF(OR(AND($B$2="Maandelijks", D13=12),AND($B$2="Vierwekelijks", D13=13), D13 = "Periode"), 1, D13+1)),"")</f>
        <v/>
      </c>
      <c r="E14" s="145" t="str">
        <f>IF(OR(Datum_Einde_IKV="",Tabel13536151617[[#This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IF(Tabel13536151617[[#This Row],[Inkomsten-periode]]="","",DATEDIF(Geboortedatum,Tabel13536151617[[#This Row],[DatEindTv]],"Y"))</f>
        <v/>
      </c>
      <c r="I14" s="146" t="str">
        <f>IF(Tabel13536151617[[#This Row],[Inkomsten-periode]]="","",IF(Datum_Aanvang_IKV="","",Datum_Aanvang_IKV))</f>
        <v/>
      </c>
      <c r="J14" s="146" t="str">
        <f>IF(Tabel13536151617[[#This Row],[Inkomsten-periode]]="","",IF(Datum_Einde_IKV="","",IF(Datum_Einde_IKV&lt;=Tabel13536151617[[#This Row],[DatEindTv]],Datum_Einde_IKV,"")))</f>
        <v/>
      </c>
      <c r="K14" s="138"/>
      <c r="L14" s="138"/>
      <c r="M14" s="138"/>
      <c r="N14" s="139"/>
      <c r="O14" s="140"/>
      <c r="P14" s="140"/>
      <c r="Q14" s="140"/>
      <c r="R14" s="140"/>
      <c r="S14" s="140"/>
      <c r="T14" s="140"/>
      <c r="U14" s="140"/>
      <c r="V14" s="184" t="str">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Row],[OpnAvwb]],0))))</f>
        <v/>
      </c>
      <c r="W14" s="187" t="str">
        <f>IF(Tabel13536151617[[#This Row],[Inkomsten-periode]]="","",IF(OR(Tabel13536151617[[#This Row],[Leeftijd]]&lt;18,Tabel13536151617[[#This Row],[Leeftijd]]&gt;=68),0,IF(Tabel13536151617[[#This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Row],[AantVerlU]],0))))</f>
        <v/>
      </c>
      <c r="X14" s="184"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Row],[LnInGld]]+Tabel13536151617[[#This Row],[OpgRchtVakBsl]]-Tabel13536151617[[#This Row],[VakBsl]]+Tabel13536151617[[#This Row],[OpbAvwb]]-Tabel13536151617[[#This Row],[OpnAvwb]],"")),"")</f>
        <v/>
      </c>
      <c r="Y14" s="187" t="str">
        <f>IF(Tabel13536151617[[#This Row],[Inkomsten-periode]]="",IF(Tabel13536151617[[#This Row],[CdRdnEindArbov]]=33,0,IF(AND(OR(Tabel13536151617[[#This Row],[SrtIV]]=13,Tabel13536151617[[#This Row],[SrtIV]]=15,Tabel13536151617[[#This Row],[SrtIV]]=31),OR(Tabel13536151617[[#This Row],[CdAard]]=1,Tabel13536151617[[#This Row],[CdAard]]=11,Tabel13536151617[[#This Row],[CdAard]]=82,Tabel13536151617[[#This Row],[CdAard]]=83)),Tabel13536151617[[#This Row],[AantVerlU]],"")),"")</f>
        <v/>
      </c>
    </row>
    <row r="15" spans="1:38" ht="16.399999999999999" customHeight="1" thickBot="1" x14ac:dyDescent="0.3">
      <c r="A15" s="249"/>
      <c r="B15" s="250"/>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6.399999999999999" customHeight="1" x14ac:dyDescent="0.35">
      <c r="A16" s="249"/>
      <c r="B16" s="250"/>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249"/>
      <c r="B17" s="250"/>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249"/>
      <c r="B18" s="250"/>
      <c r="C18" s="200"/>
      <c r="D18" s="163">
        <f>D2</f>
        <v>1</v>
      </c>
      <c r="E18" s="150" t="str">
        <f>E2</f>
        <v>januari</v>
      </c>
      <c r="F18" s="151">
        <f>F2</f>
        <v>46388</v>
      </c>
      <c r="G18" s="151">
        <f>G2</f>
        <v>46418</v>
      </c>
      <c r="H18" s="188">
        <f t="shared" ref="H18:H30" si="1">IF(AND(W2="",Y2=""),"",MAX(W2,Y2))</f>
        <v>138</v>
      </c>
      <c r="I18" s="191">
        <f t="shared" ref="I18:I30" si="2">IF(AND(V2="",X2=""),"",MAX(V2,X2))</f>
        <v>3450</v>
      </c>
      <c r="J18" s="188">
        <f>IF($E18="","",IF($E19="",SUM(H18:H$30),H18))</f>
        <v>138</v>
      </c>
      <c r="K18" s="191">
        <f>IF($E18="","",IF($E19="",SUM(I18:I$30),I18))</f>
        <v>3450</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3450</v>
      </c>
      <c r="T18" s="157">
        <f t="shared" ref="T18:T30" si="10">IF(M18="","",J18+IF(AND(D18&lt;&gt;1, T17&lt;&gt;""),T17,0))</f>
        <v>138</v>
      </c>
      <c r="U18" s="157">
        <f t="shared" ref="U18:U30" si="11">IF(M18="","",R18+IF(AND(D18&lt;&gt;1, U17&lt;&gt;""),U17,0))</f>
        <v>173.33333333333334</v>
      </c>
      <c r="V18" s="158">
        <f>IF(M18="",0,T18/U18)</f>
        <v>0.7961538461538461</v>
      </c>
      <c r="W18" s="159">
        <f>IF(M18="","",VLOOKUP($B$6,rekenwaarden!M$8:N$12,2))</f>
        <v>9.4499999999999993</v>
      </c>
      <c r="X18" s="160">
        <f t="shared" ref="X18:X30" si="12">IF(M18="","",W18*J18)</f>
        <v>1304.0999999999999</v>
      </c>
      <c r="Y18" s="160">
        <f t="shared" ref="Y18:Y30" si="13">IF(M18="","",X18+IF(AND(D18&lt;&gt;1, Y17&lt;&gt;""),Y17,0))</f>
        <v>1304.0999999999999</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2145.9</v>
      </c>
      <c r="AE18" s="160">
        <f t="shared" ref="AE18:AE30" si="17">IF(M18="","",AD18-IF(AND(D18&lt;&gt;1, AD17&lt;&gt;""),AD17,0))</f>
        <v>2145.9</v>
      </c>
      <c r="AF18" s="160">
        <f>IF(OR($B$8="ONWAAR", M18=""), "", MAX(MIN(S18, AC18*MIN(1, V18))-AA18*MIN(1, V18), 0))</f>
        <v>0</v>
      </c>
      <c r="AG18" s="160">
        <f t="shared" ref="AG18:AG30" si="18">IF(OR(M18="", AF18=""),"",AF18-IF(AND(D18&lt;&gt;1, AF17&lt;&gt;""),AF17,0))</f>
        <v>0</v>
      </c>
      <c r="AH18" s="161">
        <f t="shared" ref="AH18:AH30" ca="1" si="19">IF($M18="", "", AE18*INDIRECT(CONCATENATE("premiepct", YEAR(F18))))</f>
        <v>637.33230000000003</v>
      </c>
      <c r="AI18" s="161">
        <f ca="1">IF(OR($F$4=FALSE, M18=""), "", AG18*INDIRECT(CONCATENATE("premiepct", YEAR($F18))))</f>
        <v>0</v>
      </c>
      <c r="AJ18" s="161"/>
      <c r="AK18" s="161"/>
      <c r="AL18" s="164">
        <f ca="1">IF(M18="","",SUM(AH18:AK18))</f>
        <v>637.33230000000003</v>
      </c>
    </row>
    <row r="19" spans="1:38" s="113" customFormat="1" ht="15.65" customHeight="1" x14ac:dyDescent="0.25">
      <c r="A19" s="249"/>
      <c r="B19" s="250"/>
      <c r="C19" s="200"/>
      <c r="D19" s="163">
        <f t="shared" ref="D19:G30" si="20">D3</f>
        <v>2</v>
      </c>
      <c r="E19" s="150" t="str">
        <f t="shared" si="20"/>
        <v>februari</v>
      </c>
      <c r="F19" s="151">
        <f t="shared" si="20"/>
        <v>46419</v>
      </c>
      <c r="G19" s="151">
        <f t="shared" si="20"/>
        <v>46446</v>
      </c>
      <c r="H19" s="189">
        <f t="shared" si="1"/>
        <v>138</v>
      </c>
      <c r="I19" s="192">
        <f t="shared" si="2"/>
        <v>3450</v>
      </c>
      <c r="J19" s="189">
        <f>IF($E19="","",IF($E20="",SUM(H19:H$30),H19))</f>
        <v>138</v>
      </c>
      <c r="K19" s="192">
        <f>IF($E19="","",IF($E20="",SUM(I19:I$30),I19))</f>
        <v>3450</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6900</v>
      </c>
      <c r="T19" s="157">
        <f t="shared" si="10"/>
        <v>276</v>
      </c>
      <c r="U19" s="157">
        <f t="shared" si="11"/>
        <v>346.66666666666669</v>
      </c>
      <c r="V19" s="158">
        <f t="shared" ref="V19:V30" si="22">IF(M19="","",T19/U19)</f>
        <v>0.7961538461538461</v>
      </c>
      <c r="W19" s="159">
        <f>IF(M19="","",VLOOKUP($B$6,rekenwaarden!M$8:N$12,2))</f>
        <v>9.4499999999999993</v>
      </c>
      <c r="X19" s="160">
        <f t="shared" si="12"/>
        <v>1304.0999999999999</v>
      </c>
      <c r="Y19" s="160">
        <f t="shared" si="13"/>
        <v>2608.1999999999998</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4291.8</v>
      </c>
      <c r="AE19" s="160">
        <f t="shared" si="17"/>
        <v>2145.9</v>
      </c>
      <c r="AF19" s="160">
        <f t="shared" ref="AF19:AF30" si="23">IF(OR($B$8="ONWAAR", M19=""), "", MAX(MIN(S19, AC19*MIN(1, V19))-AA19*MIN(1, V19), 0))</f>
        <v>0</v>
      </c>
      <c r="AG19" s="160">
        <f t="shared" si="18"/>
        <v>0</v>
      </c>
      <c r="AH19" s="161">
        <f t="shared" ca="1" si="19"/>
        <v>637.33230000000003</v>
      </c>
      <c r="AI19" s="161">
        <f t="shared" ref="AI19:AI30" ca="1" si="24">IF(OR($F$4=FALSE, M19=""), "", AG19*INDIRECT(CONCATENATE("premiepct", YEAR($F19))))</f>
        <v>0</v>
      </c>
      <c r="AJ19" s="161"/>
      <c r="AK19" s="161"/>
      <c r="AL19" s="164">
        <f t="shared" ref="AL19:AL30" ca="1" si="25">IF(M19="","",SUM(AH19:AK19))</f>
        <v>637.33230000000003</v>
      </c>
    </row>
    <row r="20" spans="1:38" s="113" customFormat="1" ht="15.65" customHeight="1" x14ac:dyDescent="0.25">
      <c r="A20" s="249"/>
      <c r="B20" s="250"/>
      <c r="C20" s="200"/>
      <c r="D20" s="163">
        <f t="shared" si="20"/>
        <v>3</v>
      </c>
      <c r="E20" s="150" t="str">
        <f t="shared" si="20"/>
        <v>maart</v>
      </c>
      <c r="F20" s="151">
        <f t="shared" si="20"/>
        <v>46447</v>
      </c>
      <c r="G20" s="151">
        <f t="shared" si="20"/>
        <v>46477</v>
      </c>
      <c r="H20" s="188">
        <f t="shared" si="1"/>
        <v>138</v>
      </c>
      <c r="I20" s="191">
        <f t="shared" si="2"/>
        <v>3450</v>
      </c>
      <c r="J20" s="188">
        <f>IF($E20="","",IF($E21="",SUM(H20:H$30),H20))</f>
        <v>138</v>
      </c>
      <c r="K20" s="191">
        <f>IF($E20="","",IF($E21="",SUM(I20:I$30),I20))</f>
        <v>3450</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10350</v>
      </c>
      <c r="T20" s="157">
        <f t="shared" si="10"/>
        <v>414</v>
      </c>
      <c r="U20" s="157">
        <f t="shared" si="11"/>
        <v>520</v>
      </c>
      <c r="V20" s="158">
        <f t="shared" si="22"/>
        <v>0.7961538461538461</v>
      </c>
      <c r="W20" s="159">
        <f>IF(M20="","",VLOOKUP($B$6,rekenwaarden!M$8:N$12,2))</f>
        <v>9.4499999999999993</v>
      </c>
      <c r="X20" s="160">
        <f t="shared" si="12"/>
        <v>1304.0999999999999</v>
      </c>
      <c r="Y20" s="160">
        <f t="shared" si="13"/>
        <v>3912.2999999999997</v>
      </c>
      <c r="Z20" s="160">
        <f>IF(M20="","", VLOOKUP(B$6,rekenwaarden!M$8:T$12,3)*Q20)</f>
        <v>6617.4166666666661</v>
      </c>
      <c r="AA20" s="160">
        <f t="shared" si="14"/>
        <v>19852.25</v>
      </c>
      <c r="AB20" s="160">
        <f>IF(M20="","", VLOOKUP($B$6,rekenwaarden!M$8:T$12,4)*Q20)</f>
        <v>11483.333333333332</v>
      </c>
      <c r="AC20" s="160">
        <f t="shared" si="15"/>
        <v>34450</v>
      </c>
      <c r="AD20" s="160">
        <f t="shared" si="16"/>
        <v>6437.7000000000007</v>
      </c>
      <c r="AE20" s="160">
        <f t="shared" si="17"/>
        <v>2145.9000000000005</v>
      </c>
      <c r="AF20" s="160">
        <f t="shared" si="23"/>
        <v>0</v>
      </c>
      <c r="AG20" s="160">
        <f t="shared" si="18"/>
        <v>0</v>
      </c>
      <c r="AH20" s="161">
        <f t="shared" ca="1" si="19"/>
        <v>637.33230000000015</v>
      </c>
      <c r="AI20" s="161">
        <f t="shared" ca="1" si="24"/>
        <v>0</v>
      </c>
      <c r="AJ20" s="161"/>
      <c r="AK20" s="161"/>
      <c r="AL20" s="164">
        <f t="shared" ca="1" si="25"/>
        <v>637.33230000000015</v>
      </c>
    </row>
    <row r="21" spans="1:38" s="113" customFormat="1" ht="15.65" customHeight="1" x14ac:dyDescent="0.25">
      <c r="A21" s="249"/>
      <c r="B21" s="250"/>
      <c r="C21" s="200"/>
      <c r="D21" s="163">
        <f t="shared" si="20"/>
        <v>4</v>
      </c>
      <c r="E21" s="150" t="str">
        <f t="shared" si="20"/>
        <v>april</v>
      </c>
      <c r="F21" s="151">
        <f t="shared" si="20"/>
        <v>46478</v>
      </c>
      <c r="G21" s="151">
        <f t="shared" si="20"/>
        <v>46507</v>
      </c>
      <c r="H21" s="189">
        <f t="shared" si="1"/>
        <v>138</v>
      </c>
      <c r="I21" s="192">
        <f t="shared" si="2"/>
        <v>3450</v>
      </c>
      <c r="J21" s="189">
        <f>IF($E21="","",IF($E22="",SUM(H21:H$30),H21))</f>
        <v>138</v>
      </c>
      <c r="K21" s="192">
        <f>IF($E21="","",IF($E22="",SUM(I21:I$30),I21))</f>
        <v>3450</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13800</v>
      </c>
      <c r="T21" s="157">
        <f t="shared" si="10"/>
        <v>552</v>
      </c>
      <c r="U21" s="157">
        <f t="shared" si="11"/>
        <v>693.33333333333337</v>
      </c>
      <c r="V21" s="158">
        <f t="shared" si="22"/>
        <v>0.7961538461538461</v>
      </c>
      <c r="W21" s="159">
        <f>IF(M21="","",VLOOKUP($B$6,rekenwaarden!M$8:N$12,2))</f>
        <v>9.4499999999999993</v>
      </c>
      <c r="X21" s="160">
        <f t="shared" si="12"/>
        <v>1304.0999999999999</v>
      </c>
      <c r="Y21" s="160">
        <f t="shared" si="13"/>
        <v>5216.3999999999996</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8583.6</v>
      </c>
      <c r="AE21" s="160">
        <f t="shared" si="17"/>
        <v>2145.8999999999996</v>
      </c>
      <c r="AF21" s="160">
        <f t="shared" si="23"/>
        <v>0</v>
      </c>
      <c r="AG21" s="160">
        <f t="shared" si="18"/>
        <v>0</v>
      </c>
      <c r="AH21" s="161">
        <f t="shared" ca="1" si="19"/>
        <v>637.33229999999992</v>
      </c>
      <c r="AI21" s="161">
        <f t="shared" ca="1" si="24"/>
        <v>0</v>
      </c>
      <c r="AJ21" s="161"/>
      <c r="AK21" s="161"/>
      <c r="AL21" s="164">
        <f t="shared" ca="1" si="25"/>
        <v>637.33229999999992</v>
      </c>
    </row>
    <row r="22" spans="1:38" s="113" customFormat="1" ht="15.65" customHeight="1" x14ac:dyDescent="0.25">
      <c r="A22" s="249"/>
      <c r="B22" s="250"/>
      <c r="C22" s="200"/>
      <c r="D22" s="163">
        <f t="shared" si="20"/>
        <v>5</v>
      </c>
      <c r="E22" s="150" t="str">
        <f t="shared" si="20"/>
        <v>mei</v>
      </c>
      <c r="F22" s="151">
        <f t="shared" si="20"/>
        <v>46508</v>
      </c>
      <c r="G22" s="151">
        <f t="shared" si="20"/>
        <v>46538</v>
      </c>
      <c r="H22" s="188">
        <f t="shared" si="1"/>
        <v>138</v>
      </c>
      <c r="I22" s="191">
        <f t="shared" si="2"/>
        <v>3450</v>
      </c>
      <c r="J22" s="188">
        <f>IF($E22="","",IF($E23="",SUM(H22:H$30),H22))</f>
        <v>138</v>
      </c>
      <c r="K22" s="191">
        <f>IF($E22="","",IF($E23="",SUM(I22:I$30),I22))</f>
        <v>3450</v>
      </c>
      <c r="L22" s="152">
        <f t="shared" si="3"/>
        <v>40</v>
      </c>
      <c r="M22" s="151">
        <f t="shared" si="4"/>
        <v>46508</v>
      </c>
      <c r="N22" s="151">
        <f t="shared" si="5"/>
        <v>46538</v>
      </c>
      <c r="O22" s="150">
        <f t="shared" si="21"/>
        <v>31</v>
      </c>
      <c r="P22" s="153">
        <f t="shared" si="6"/>
        <v>1</v>
      </c>
      <c r="Q22" s="154">
        <f t="shared" si="7"/>
        <v>8.3333333333333329E-2</v>
      </c>
      <c r="R22" s="155">
        <f t="shared" si="8"/>
        <v>173.33333333333334</v>
      </c>
      <c r="S22" s="156">
        <f t="shared" si="9"/>
        <v>17250</v>
      </c>
      <c r="T22" s="157">
        <f t="shared" si="10"/>
        <v>690</v>
      </c>
      <c r="U22" s="157">
        <f t="shared" si="11"/>
        <v>866.66666666666674</v>
      </c>
      <c r="V22" s="158">
        <f t="shared" si="22"/>
        <v>0.7961538461538461</v>
      </c>
      <c r="W22" s="159">
        <f>IF(M22="","",VLOOKUP($B$6,rekenwaarden!M$8:N$12,2))</f>
        <v>9.4499999999999993</v>
      </c>
      <c r="X22" s="160">
        <f t="shared" si="12"/>
        <v>1304.0999999999999</v>
      </c>
      <c r="Y22" s="160">
        <f t="shared" si="13"/>
        <v>6520.5</v>
      </c>
      <c r="Z22" s="160">
        <f>IF(M22="","", VLOOKUP(B$6,rekenwaarden!M$8:T$12,3)*Q22)</f>
        <v>6617.4166666666661</v>
      </c>
      <c r="AA22" s="160">
        <f t="shared" si="14"/>
        <v>33087.083333333328</v>
      </c>
      <c r="AB22" s="160">
        <f>IF(M22="","", VLOOKUP($B$6,rekenwaarden!M$8:T$12,4)*Q22)</f>
        <v>11483.333333333332</v>
      </c>
      <c r="AC22" s="160">
        <f t="shared" si="15"/>
        <v>57416.666666666657</v>
      </c>
      <c r="AD22" s="160">
        <f t="shared" si="16"/>
        <v>10729.5</v>
      </c>
      <c r="AE22" s="160">
        <f t="shared" si="17"/>
        <v>2145.8999999999996</v>
      </c>
      <c r="AF22" s="160">
        <f t="shared" si="23"/>
        <v>0</v>
      </c>
      <c r="AG22" s="160">
        <f t="shared" si="18"/>
        <v>0</v>
      </c>
      <c r="AH22" s="161">
        <f t="shared" ca="1" si="19"/>
        <v>637.33229999999992</v>
      </c>
      <c r="AI22" s="161">
        <f t="shared" ca="1" si="24"/>
        <v>0</v>
      </c>
      <c r="AJ22" s="161"/>
      <c r="AK22" s="161"/>
      <c r="AL22" s="164">
        <f t="shared" ca="1" si="25"/>
        <v>637.33229999999992</v>
      </c>
    </row>
    <row r="23" spans="1:38" s="113" customFormat="1" ht="15.65" customHeight="1" x14ac:dyDescent="0.25">
      <c r="A23" s="249"/>
      <c r="B23" s="250"/>
      <c r="C23" s="200"/>
      <c r="D23" s="163">
        <f t="shared" si="20"/>
        <v>6</v>
      </c>
      <c r="E23" s="150" t="str">
        <f t="shared" si="20"/>
        <v>juni</v>
      </c>
      <c r="F23" s="151">
        <f t="shared" si="20"/>
        <v>46539</v>
      </c>
      <c r="G23" s="151">
        <f t="shared" si="20"/>
        <v>46568</v>
      </c>
      <c r="H23" s="189">
        <f t="shared" si="1"/>
        <v>138</v>
      </c>
      <c r="I23" s="192">
        <f t="shared" si="2"/>
        <v>3450</v>
      </c>
      <c r="J23" s="189">
        <f>IF($E23="","",IF($E24="",SUM(H23:H$30),H23))</f>
        <v>138</v>
      </c>
      <c r="K23" s="192">
        <f>IF($E23="","",IF($E24="",SUM(I23:I$30),I23))</f>
        <v>3450</v>
      </c>
      <c r="L23" s="152">
        <f t="shared" si="3"/>
        <v>40</v>
      </c>
      <c r="M23" s="151">
        <f t="shared" si="4"/>
        <v>46539</v>
      </c>
      <c r="N23" s="151">
        <f t="shared" si="5"/>
        <v>46568</v>
      </c>
      <c r="O23" s="150">
        <f t="shared" si="21"/>
        <v>30</v>
      </c>
      <c r="P23" s="153">
        <f t="shared" si="6"/>
        <v>1</v>
      </c>
      <c r="Q23" s="154">
        <f t="shared" si="7"/>
        <v>8.3333333333333329E-2</v>
      </c>
      <c r="R23" s="155">
        <f t="shared" si="8"/>
        <v>173.33333333333334</v>
      </c>
      <c r="S23" s="156">
        <f t="shared" si="9"/>
        <v>20700</v>
      </c>
      <c r="T23" s="157">
        <f t="shared" si="10"/>
        <v>828</v>
      </c>
      <c r="U23" s="157">
        <f t="shared" si="11"/>
        <v>1040</v>
      </c>
      <c r="V23" s="158">
        <f t="shared" si="22"/>
        <v>0.7961538461538461</v>
      </c>
      <c r="W23" s="159">
        <f>IF(M23="","",VLOOKUP($B$6,rekenwaarden!M$8:N$12,2))</f>
        <v>9.4499999999999993</v>
      </c>
      <c r="X23" s="160">
        <f t="shared" si="12"/>
        <v>1304.0999999999999</v>
      </c>
      <c r="Y23" s="160">
        <f t="shared" si="13"/>
        <v>7824.6</v>
      </c>
      <c r="Z23" s="160">
        <f>IF(M23="","", VLOOKUP(B$6,rekenwaarden!M$8:T$12,3)*Q23)</f>
        <v>6617.4166666666661</v>
      </c>
      <c r="AA23" s="160">
        <f t="shared" si="14"/>
        <v>39704.499999999993</v>
      </c>
      <c r="AB23" s="160">
        <f>IF(M23="","", VLOOKUP($B$6,rekenwaarden!M$8:T$12,4)*Q23)</f>
        <v>11483.333333333332</v>
      </c>
      <c r="AC23" s="160">
        <f t="shared" si="15"/>
        <v>68899.999999999985</v>
      </c>
      <c r="AD23" s="160">
        <f t="shared" si="16"/>
        <v>12875.4</v>
      </c>
      <c r="AE23" s="160">
        <f t="shared" si="17"/>
        <v>2145.8999999999996</v>
      </c>
      <c r="AF23" s="160">
        <f t="shared" si="23"/>
        <v>0</v>
      </c>
      <c r="AG23" s="160">
        <f t="shared" si="18"/>
        <v>0</v>
      </c>
      <c r="AH23" s="161">
        <f t="shared" ca="1" si="19"/>
        <v>637.33229999999992</v>
      </c>
      <c r="AI23" s="161">
        <f t="shared" ca="1" si="24"/>
        <v>0</v>
      </c>
      <c r="AJ23" s="161"/>
      <c r="AK23" s="161"/>
      <c r="AL23" s="164">
        <f t="shared" ca="1" si="25"/>
        <v>637.33229999999992</v>
      </c>
    </row>
    <row r="24" spans="1:38" s="113" customFormat="1" ht="15.65" customHeight="1" x14ac:dyDescent="0.25">
      <c r="A24" s="249"/>
      <c r="B24" s="250"/>
      <c r="C24" s="200"/>
      <c r="D24" s="163">
        <f t="shared" si="20"/>
        <v>7</v>
      </c>
      <c r="E24" s="150" t="str">
        <f t="shared" si="20"/>
        <v>juli</v>
      </c>
      <c r="F24" s="151">
        <f t="shared" si="20"/>
        <v>46569</v>
      </c>
      <c r="G24" s="151">
        <f t="shared" si="20"/>
        <v>46599</v>
      </c>
      <c r="H24" s="188">
        <f t="shared" si="1"/>
        <v>178</v>
      </c>
      <c r="I24" s="191">
        <f t="shared" si="2"/>
        <v>4750</v>
      </c>
      <c r="J24" s="188">
        <f>IF($E24="","",IF($E25="",SUM(H24:H$30),H24))</f>
        <v>178</v>
      </c>
      <c r="K24" s="191">
        <f>IF($E24="","",IF($E25="",SUM(I24:I$30),I24))</f>
        <v>4750</v>
      </c>
      <c r="L24" s="152">
        <f t="shared" si="3"/>
        <v>40</v>
      </c>
      <c r="M24" s="151">
        <f t="shared" si="4"/>
        <v>46569</v>
      </c>
      <c r="N24" s="151">
        <f t="shared" si="5"/>
        <v>46599</v>
      </c>
      <c r="O24" s="150">
        <f t="shared" si="21"/>
        <v>31</v>
      </c>
      <c r="P24" s="153">
        <f t="shared" si="6"/>
        <v>1</v>
      </c>
      <c r="Q24" s="154">
        <f t="shared" si="7"/>
        <v>8.3333333333333329E-2</v>
      </c>
      <c r="R24" s="155">
        <f t="shared" si="8"/>
        <v>173.33333333333334</v>
      </c>
      <c r="S24" s="156">
        <f t="shared" si="9"/>
        <v>25450</v>
      </c>
      <c r="T24" s="157">
        <f t="shared" si="10"/>
        <v>1006</v>
      </c>
      <c r="U24" s="157">
        <f t="shared" si="11"/>
        <v>1213.3333333333333</v>
      </c>
      <c r="V24" s="158">
        <f t="shared" si="22"/>
        <v>0.82912087912087917</v>
      </c>
      <c r="W24" s="159">
        <f>IF(M24="","",VLOOKUP($B$6,rekenwaarden!M$8:N$12,2))</f>
        <v>9.4499999999999993</v>
      </c>
      <c r="X24" s="160">
        <f t="shared" si="12"/>
        <v>1682.1</v>
      </c>
      <c r="Y24" s="160">
        <f t="shared" si="13"/>
        <v>9506.7000000000007</v>
      </c>
      <c r="Z24" s="160">
        <f>IF(M24="","", VLOOKUP(B$6,rekenwaarden!M$8:T$12,3)*Q24)</f>
        <v>6617.4166666666661</v>
      </c>
      <c r="AA24" s="160">
        <f t="shared" si="14"/>
        <v>46321.916666666657</v>
      </c>
      <c r="AB24" s="160">
        <f>IF(M24="","", VLOOKUP($B$6,rekenwaarden!M$8:T$12,4)*Q24)</f>
        <v>11483.333333333332</v>
      </c>
      <c r="AC24" s="160">
        <f t="shared" si="15"/>
        <v>80383.333333333314</v>
      </c>
      <c r="AD24" s="160">
        <f t="shared" si="16"/>
        <v>15943.3</v>
      </c>
      <c r="AE24" s="160">
        <f t="shared" si="17"/>
        <v>3067.8999999999996</v>
      </c>
      <c r="AF24" s="160">
        <f t="shared" si="23"/>
        <v>0</v>
      </c>
      <c r="AG24" s="160">
        <f t="shared" si="18"/>
        <v>0</v>
      </c>
      <c r="AH24" s="161">
        <f t="shared" ca="1" si="19"/>
        <v>911.16629999999986</v>
      </c>
      <c r="AI24" s="161">
        <f t="shared" ca="1" si="24"/>
        <v>0</v>
      </c>
      <c r="AJ24" s="161"/>
      <c r="AK24" s="161"/>
      <c r="AL24" s="164">
        <f t="shared" ca="1" si="25"/>
        <v>911.16629999999986</v>
      </c>
    </row>
    <row r="25" spans="1:38" s="113" customFormat="1" ht="15.65" customHeight="1" x14ac:dyDescent="0.25">
      <c r="A25" s="249"/>
      <c r="B25" s="250"/>
      <c r="C25" s="200"/>
      <c r="D25" s="163">
        <f t="shared" si="20"/>
        <v>8</v>
      </c>
      <c r="E25" s="150" t="str">
        <f t="shared" si="20"/>
        <v>augustus</v>
      </c>
      <c r="F25" s="151">
        <f t="shared" si="20"/>
        <v>46600</v>
      </c>
      <c r="G25" s="151">
        <f t="shared" si="20"/>
        <v>46630</v>
      </c>
      <c r="H25" s="189">
        <f t="shared" si="1"/>
        <v>178</v>
      </c>
      <c r="I25" s="192">
        <f t="shared" si="2"/>
        <v>4750</v>
      </c>
      <c r="J25" s="189">
        <f>IF($E25="","",IF($E26="",SUM(H25:H$30),H25))</f>
        <v>178</v>
      </c>
      <c r="K25" s="192">
        <f>IF($E25="","",IF($E26="",SUM(I25:I$30),I25))</f>
        <v>4750</v>
      </c>
      <c r="L25" s="152">
        <f t="shared" si="3"/>
        <v>40</v>
      </c>
      <c r="M25" s="151">
        <f t="shared" si="4"/>
        <v>46600</v>
      </c>
      <c r="N25" s="151">
        <f t="shared" si="5"/>
        <v>46630</v>
      </c>
      <c r="O25" s="150">
        <f t="shared" si="21"/>
        <v>31</v>
      </c>
      <c r="P25" s="153">
        <f t="shared" si="6"/>
        <v>1</v>
      </c>
      <c r="Q25" s="154">
        <f t="shared" si="7"/>
        <v>8.3333333333333329E-2</v>
      </c>
      <c r="R25" s="155">
        <f t="shared" si="8"/>
        <v>173.33333333333334</v>
      </c>
      <c r="S25" s="156">
        <f t="shared" si="9"/>
        <v>30200</v>
      </c>
      <c r="T25" s="157">
        <f t="shared" si="10"/>
        <v>1184</v>
      </c>
      <c r="U25" s="157">
        <f t="shared" si="11"/>
        <v>1386.6666666666665</v>
      </c>
      <c r="V25" s="158">
        <f t="shared" si="22"/>
        <v>0.85384615384615392</v>
      </c>
      <c r="W25" s="159">
        <f>IF(M25="","",VLOOKUP($B$6,rekenwaarden!M$8:N$12,2))</f>
        <v>9.4499999999999993</v>
      </c>
      <c r="X25" s="160">
        <f t="shared" si="12"/>
        <v>1682.1</v>
      </c>
      <c r="Y25" s="160">
        <f t="shared" si="13"/>
        <v>11188.800000000001</v>
      </c>
      <c r="Z25" s="160">
        <f>IF(M25="","", VLOOKUP(B$6,rekenwaarden!M$8:T$12,3)*Q25)</f>
        <v>6617.4166666666661</v>
      </c>
      <c r="AA25" s="160">
        <f t="shared" si="14"/>
        <v>52939.333333333321</v>
      </c>
      <c r="AB25" s="160">
        <f>IF(M25="","", VLOOKUP($B$6,rekenwaarden!M$8:T$12,4)*Q25)</f>
        <v>11483.333333333332</v>
      </c>
      <c r="AC25" s="160">
        <f t="shared" si="15"/>
        <v>91866.666666666642</v>
      </c>
      <c r="AD25" s="160">
        <f t="shared" si="16"/>
        <v>19011.199999999997</v>
      </c>
      <c r="AE25" s="160">
        <f t="shared" si="17"/>
        <v>3067.8999999999978</v>
      </c>
      <c r="AF25" s="160">
        <f t="shared" si="23"/>
        <v>0</v>
      </c>
      <c r="AG25" s="160">
        <f t="shared" si="18"/>
        <v>0</v>
      </c>
      <c r="AH25" s="161">
        <f t="shared" ca="1" si="19"/>
        <v>911.1662999999993</v>
      </c>
      <c r="AI25" s="161">
        <f t="shared" ca="1" si="24"/>
        <v>0</v>
      </c>
      <c r="AJ25" s="161"/>
      <c r="AK25" s="161"/>
      <c r="AL25" s="164">
        <f t="shared" ca="1" si="25"/>
        <v>911.1662999999993</v>
      </c>
    </row>
    <row r="26" spans="1:38" s="113" customFormat="1" ht="15.65" customHeight="1" x14ac:dyDescent="0.25">
      <c r="A26" s="125"/>
      <c r="B26" s="126"/>
      <c r="C26" s="200"/>
      <c r="D26" s="163">
        <f t="shared" si="20"/>
        <v>9</v>
      </c>
      <c r="E26" s="150" t="str">
        <f t="shared" si="20"/>
        <v>september</v>
      </c>
      <c r="F26" s="151">
        <f t="shared" si="20"/>
        <v>46631</v>
      </c>
      <c r="G26" s="151">
        <f t="shared" si="20"/>
        <v>46660</v>
      </c>
      <c r="H26" s="188">
        <f t="shared" si="1"/>
        <v>138</v>
      </c>
      <c r="I26" s="191">
        <f t="shared" si="2"/>
        <v>3450</v>
      </c>
      <c r="J26" s="188">
        <f>IF($E26="","",IF($E27="",SUM(H26:H$30),H26))</f>
        <v>138</v>
      </c>
      <c r="K26" s="191">
        <f>IF($E26="","",IF($E27="",SUM(I26:I$30),I26))</f>
        <v>3450</v>
      </c>
      <c r="L26" s="152">
        <f t="shared" si="3"/>
        <v>40</v>
      </c>
      <c r="M26" s="151">
        <f t="shared" si="4"/>
        <v>46631</v>
      </c>
      <c r="N26" s="151">
        <f t="shared" si="5"/>
        <v>46660</v>
      </c>
      <c r="O26" s="150">
        <f t="shared" si="21"/>
        <v>30</v>
      </c>
      <c r="P26" s="153">
        <f t="shared" si="6"/>
        <v>1</v>
      </c>
      <c r="Q26" s="154">
        <f t="shared" si="7"/>
        <v>8.3333333333333329E-2</v>
      </c>
      <c r="R26" s="155">
        <f t="shared" si="8"/>
        <v>173.33333333333334</v>
      </c>
      <c r="S26" s="156">
        <f t="shared" si="9"/>
        <v>33650</v>
      </c>
      <c r="T26" s="157">
        <f t="shared" si="10"/>
        <v>1322</v>
      </c>
      <c r="U26" s="157">
        <f t="shared" si="11"/>
        <v>1559.9999999999998</v>
      </c>
      <c r="V26" s="158">
        <f t="shared" si="22"/>
        <v>0.84743589743589753</v>
      </c>
      <c r="W26" s="159">
        <f>IF(M26="","",VLOOKUP($B$6,rekenwaarden!M$8:N$12,2))</f>
        <v>9.4499999999999993</v>
      </c>
      <c r="X26" s="160">
        <f t="shared" si="12"/>
        <v>1304.0999999999999</v>
      </c>
      <c r="Y26" s="160">
        <f t="shared" si="13"/>
        <v>12492.900000000001</v>
      </c>
      <c r="Z26" s="160">
        <f>IF(M26="","", VLOOKUP(B$6,rekenwaarden!M$8:T$12,3)*Q26)</f>
        <v>6617.4166666666661</v>
      </c>
      <c r="AA26" s="160">
        <f t="shared" si="14"/>
        <v>59556.749999999985</v>
      </c>
      <c r="AB26" s="160">
        <f>IF(M26="","", VLOOKUP($B$6,rekenwaarden!M$8:T$12,4)*Q26)</f>
        <v>11483.333333333332</v>
      </c>
      <c r="AC26" s="160">
        <f t="shared" si="15"/>
        <v>103349.99999999997</v>
      </c>
      <c r="AD26" s="160">
        <f t="shared" si="16"/>
        <v>21157.1</v>
      </c>
      <c r="AE26" s="160">
        <f t="shared" si="17"/>
        <v>2145.9000000000015</v>
      </c>
      <c r="AF26" s="160">
        <f t="shared" si="23"/>
        <v>0</v>
      </c>
      <c r="AG26" s="160">
        <f t="shared" si="18"/>
        <v>0</v>
      </c>
      <c r="AH26" s="161">
        <f t="shared" ca="1" si="19"/>
        <v>637.33230000000037</v>
      </c>
      <c r="AI26" s="161">
        <f t="shared" ca="1" si="24"/>
        <v>0</v>
      </c>
      <c r="AJ26" s="161"/>
      <c r="AK26" s="161"/>
      <c r="AL26" s="164">
        <f t="shared" ca="1" si="25"/>
        <v>637.33230000000037</v>
      </c>
    </row>
    <row r="27" spans="1:38" s="113" customFormat="1" ht="15.65" customHeight="1" x14ac:dyDescent="0.25">
      <c r="A27" s="125"/>
      <c r="B27" s="126"/>
      <c r="C27" s="200"/>
      <c r="D27" s="163">
        <f t="shared" si="20"/>
        <v>10</v>
      </c>
      <c r="E27" s="150" t="str">
        <f t="shared" si="20"/>
        <v>oktober</v>
      </c>
      <c r="F27" s="151">
        <f t="shared" si="20"/>
        <v>46661</v>
      </c>
      <c r="G27" s="151">
        <f t="shared" si="20"/>
        <v>46691</v>
      </c>
      <c r="H27" s="189">
        <f t="shared" si="1"/>
        <v>138</v>
      </c>
      <c r="I27" s="192">
        <f t="shared" si="2"/>
        <v>3450</v>
      </c>
      <c r="J27" s="189">
        <f>IF($E27="","",IF($E28="",SUM(H27:H$30),H27))</f>
        <v>138</v>
      </c>
      <c r="K27" s="192">
        <f>IF($E27="","",IF($E28="",SUM(I27:I$30),I27))</f>
        <v>3450</v>
      </c>
      <c r="L27" s="152">
        <f t="shared" si="3"/>
        <v>40</v>
      </c>
      <c r="M27" s="151">
        <f t="shared" si="4"/>
        <v>46661</v>
      </c>
      <c r="N27" s="151">
        <f t="shared" si="5"/>
        <v>46691</v>
      </c>
      <c r="O27" s="150">
        <f t="shared" si="21"/>
        <v>31</v>
      </c>
      <c r="P27" s="153">
        <f t="shared" si="6"/>
        <v>1</v>
      </c>
      <c r="Q27" s="154">
        <f t="shared" si="7"/>
        <v>8.3333333333333329E-2</v>
      </c>
      <c r="R27" s="155">
        <f t="shared" si="8"/>
        <v>173.33333333333334</v>
      </c>
      <c r="S27" s="156">
        <f t="shared" si="9"/>
        <v>37100</v>
      </c>
      <c r="T27" s="157">
        <f t="shared" si="10"/>
        <v>1460</v>
      </c>
      <c r="U27" s="157">
        <f t="shared" si="11"/>
        <v>1733.333333333333</v>
      </c>
      <c r="V27" s="158">
        <f t="shared" si="22"/>
        <v>0.84230769230769242</v>
      </c>
      <c r="W27" s="159">
        <f>IF(M27="","",VLOOKUP($B$6,rekenwaarden!M$8:N$12,2))</f>
        <v>9.4499999999999993</v>
      </c>
      <c r="X27" s="160">
        <f t="shared" si="12"/>
        <v>1304.0999999999999</v>
      </c>
      <c r="Y27" s="160">
        <f t="shared" si="13"/>
        <v>13797.000000000002</v>
      </c>
      <c r="Z27" s="160">
        <f>IF(M27="","", VLOOKUP(B$6,rekenwaarden!M$8:T$12,3)*Q27)</f>
        <v>6617.4166666666661</v>
      </c>
      <c r="AA27" s="160">
        <f t="shared" si="14"/>
        <v>66174.166666666657</v>
      </c>
      <c r="AB27" s="160">
        <f>IF(M27="","", VLOOKUP($B$6,rekenwaarden!M$8:T$12,4)*Q27)</f>
        <v>11483.333333333332</v>
      </c>
      <c r="AC27" s="160">
        <f t="shared" si="15"/>
        <v>114833.3333333333</v>
      </c>
      <c r="AD27" s="160">
        <f t="shared" si="16"/>
        <v>23303</v>
      </c>
      <c r="AE27" s="160">
        <f t="shared" si="17"/>
        <v>2145.9000000000015</v>
      </c>
      <c r="AF27" s="160">
        <f t="shared" si="23"/>
        <v>0</v>
      </c>
      <c r="AG27" s="160">
        <f t="shared" si="18"/>
        <v>0</v>
      </c>
      <c r="AH27" s="161">
        <f t="shared" ca="1" si="19"/>
        <v>637.33230000000037</v>
      </c>
      <c r="AI27" s="161">
        <f t="shared" ca="1" si="24"/>
        <v>0</v>
      </c>
      <c r="AJ27" s="161"/>
      <c r="AK27" s="161"/>
      <c r="AL27" s="164">
        <f t="shared" ca="1" si="25"/>
        <v>637.33230000000037</v>
      </c>
    </row>
    <row r="28" spans="1:38" s="113" customFormat="1" ht="15.65" customHeight="1" x14ac:dyDescent="0.25">
      <c r="A28" s="125"/>
      <c r="B28" s="126"/>
      <c r="C28" s="200"/>
      <c r="D28" s="163">
        <f t="shared" si="20"/>
        <v>11</v>
      </c>
      <c r="E28" s="150" t="str">
        <f t="shared" si="20"/>
        <v>november</v>
      </c>
      <c r="F28" s="151">
        <f t="shared" si="20"/>
        <v>46692</v>
      </c>
      <c r="G28" s="151">
        <f t="shared" si="20"/>
        <v>46721</v>
      </c>
      <c r="H28" s="188">
        <f t="shared" si="1"/>
        <v>138</v>
      </c>
      <c r="I28" s="191">
        <f t="shared" si="2"/>
        <v>3450</v>
      </c>
      <c r="J28" s="188">
        <f>IF($E28="","",IF($E29="",SUM(H28:H$30),H28))</f>
        <v>138</v>
      </c>
      <c r="K28" s="191">
        <f>IF($E28="","",IF($E29="",SUM(I28:I$30),I28))</f>
        <v>3450</v>
      </c>
      <c r="L28" s="152">
        <f t="shared" si="3"/>
        <v>40</v>
      </c>
      <c r="M28" s="151">
        <f t="shared" si="4"/>
        <v>46692</v>
      </c>
      <c r="N28" s="151">
        <f t="shared" si="5"/>
        <v>46721</v>
      </c>
      <c r="O28" s="150">
        <f t="shared" si="21"/>
        <v>30</v>
      </c>
      <c r="P28" s="153">
        <f t="shared" si="6"/>
        <v>1</v>
      </c>
      <c r="Q28" s="154">
        <f t="shared" si="7"/>
        <v>8.3333333333333329E-2</v>
      </c>
      <c r="R28" s="155">
        <f t="shared" si="8"/>
        <v>173.33333333333334</v>
      </c>
      <c r="S28" s="156">
        <f t="shared" si="9"/>
        <v>40550</v>
      </c>
      <c r="T28" s="157">
        <f t="shared" si="10"/>
        <v>1598</v>
      </c>
      <c r="U28" s="157">
        <f t="shared" si="11"/>
        <v>1906.6666666666663</v>
      </c>
      <c r="V28" s="158">
        <f t="shared" si="22"/>
        <v>0.8381118881118883</v>
      </c>
      <c r="W28" s="159">
        <f>IF(M28="","",VLOOKUP($B$6,rekenwaarden!M$8:N$12,2))</f>
        <v>9.4499999999999993</v>
      </c>
      <c r="X28" s="160">
        <f t="shared" si="12"/>
        <v>1304.0999999999999</v>
      </c>
      <c r="Y28" s="160">
        <f t="shared" si="13"/>
        <v>15101.100000000002</v>
      </c>
      <c r="Z28" s="160">
        <f>IF(M28="","", VLOOKUP(B$6,rekenwaarden!M$8:T$12,3)*Q28)</f>
        <v>6617.4166666666661</v>
      </c>
      <c r="AA28" s="160">
        <f t="shared" si="14"/>
        <v>72791.583333333328</v>
      </c>
      <c r="AB28" s="160">
        <f>IF(M28="","", VLOOKUP($B$6,rekenwaarden!M$8:T$12,4)*Q28)</f>
        <v>11483.333333333332</v>
      </c>
      <c r="AC28" s="160">
        <f t="shared" si="15"/>
        <v>126316.66666666663</v>
      </c>
      <c r="AD28" s="160">
        <f t="shared" si="16"/>
        <v>25448.899999999998</v>
      </c>
      <c r="AE28" s="160">
        <f t="shared" si="17"/>
        <v>2145.8999999999978</v>
      </c>
      <c r="AF28" s="160">
        <f t="shared" si="23"/>
        <v>0</v>
      </c>
      <c r="AG28" s="160">
        <f t="shared" si="18"/>
        <v>0</v>
      </c>
      <c r="AH28" s="161">
        <f t="shared" ca="1" si="19"/>
        <v>637.33229999999935</v>
      </c>
      <c r="AI28" s="161">
        <f t="shared" ca="1" si="24"/>
        <v>0</v>
      </c>
      <c r="AJ28" s="161"/>
      <c r="AK28" s="161"/>
      <c r="AL28" s="164">
        <f t="shared" ca="1" si="25"/>
        <v>637.33229999999935</v>
      </c>
    </row>
    <row r="29" spans="1:38" s="113" customFormat="1" ht="15.65" customHeight="1" x14ac:dyDescent="0.25">
      <c r="A29" s="125"/>
      <c r="B29" s="126"/>
      <c r="C29" s="200"/>
      <c r="D29" s="163">
        <f t="shared" si="20"/>
        <v>12</v>
      </c>
      <c r="E29" s="150" t="str">
        <f t="shared" si="20"/>
        <v>december</v>
      </c>
      <c r="F29" s="151">
        <f t="shared" si="20"/>
        <v>46722</v>
      </c>
      <c r="G29" s="151">
        <f t="shared" si="20"/>
        <v>46752</v>
      </c>
      <c r="H29" s="189">
        <f t="shared" si="1"/>
        <v>138</v>
      </c>
      <c r="I29" s="192">
        <f t="shared" si="2"/>
        <v>3450</v>
      </c>
      <c r="J29" s="189">
        <f>IF($E29="","",IF($E30="",SUM(H29:H$30),H29))</f>
        <v>138</v>
      </c>
      <c r="K29" s="192">
        <f>IF($E29="","",IF($E30="",SUM(I29:I$30),I29))</f>
        <v>3450</v>
      </c>
      <c r="L29" s="152">
        <f t="shared" si="3"/>
        <v>40</v>
      </c>
      <c r="M29" s="151">
        <f t="shared" si="4"/>
        <v>46722</v>
      </c>
      <c r="N29" s="151">
        <f t="shared" si="5"/>
        <v>46752</v>
      </c>
      <c r="O29" s="150">
        <f t="shared" si="21"/>
        <v>31</v>
      </c>
      <c r="P29" s="153">
        <f t="shared" si="6"/>
        <v>1</v>
      </c>
      <c r="Q29" s="154">
        <f t="shared" si="7"/>
        <v>8.3333333333333329E-2</v>
      </c>
      <c r="R29" s="155">
        <f t="shared" si="8"/>
        <v>173.33333333333334</v>
      </c>
      <c r="S29" s="156">
        <f t="shared" si="9"/>
        <v>44000</v>
      </c>
      <c r="T29" s="157">
        <f t="shared" si="10"/>
        <v>1736</v>
      </c>
      <c r="U29" s="157">
        <f t="shared" si="11"/>
        <v>2079.9999999999995</v>
      </c>
      <c r="V29" s="158">
        <f t="shared" si="22"/>
        <v>0.83461538461538476</v>
      </c>
      <c r="W29" s="159">
        <f>IF(M29="","",VLOOKUP($B$6,rekenwaarden!M$8:N$12,2))</f>
        <v>9.4499999999999993</v>
      </c>
      <c r="X29" s="160">
        <f t="shared" si="12"/>
        <v>1304.0999999999999</v>
      </c>
      <c r="Y29" s="160">
        <f t="shared" si="13"/>
        <v>16405.2</v>
      </c>
      <c r="Z29" s="160">
        <f>IF(M29="","", VLOOKUP(B$6,rekenwaarden!M$8:T$12,3)*Q29)</f>
        <v>6617.4166666666661</v>
      </c>
      <c r="AA29" s="160">
        <f t="shared" si="14"/>
        <v>79409</v>
      </c>
      <c r="AB29" s="160">
        <f>IF(M29="","", VLOOKUP($B$6,rekenwaarden!M$8:T$12,4)*Q29)</f>
        <v>11483.333333333332</v>
      </c>
      <c r="AC29" s="160">
        <f t="shared" si="15"/>
        <v>137799.99999999997</v>
      </c>
      <c r="AD29" s="160">
        <f t="shared" si="16"/>
        <v>27594.799999999999</v>
      </c>
      <c r="AE29" s="160">
        <f t="shared" si="17"/>
        <v>2145.9000000000015</v>
      </c>
      <c r="AF29" s="160">
        <f t="shared" si="23"/>
        <v>0</v>
      </c>
      <c r="AG29" s="160">
        <f t="shared" si="18"/>
        <v>0</v>
      </c>
      <c r="AH29" s="161">
        <f t="shared" ca="1" si="19"/>
        <v>637.33230000000037</v>
      </c>
      <c r="AI29" s="161">
        <f t="shared" ca="1" si="24"/>
        <v>0</v>
      </c>
      <c r="AJ29" s="161"/>
      <c r="AK29" s="161"/>
      <c r="AL29" s="164">
        <f t="shared" ca="1" si="25"/>
        <v>637.33230000000037</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sheetData>
  <sheetProtection algorithmName="SHA-512" hashValue="uPSKjCOd9fgpAVKHS4qLfa6iWpMh/LlvDSwK5XDArEcAr9603bi/s9vOfCHBJB0IM4Ro/5mWfsB/xRz22CEeUQ==" saltValue="C/P2r+Yq0zi5ucWyvLzsKg==" spinCount="100000" sheet="1" objects="1" scenarios="1"/>
  <protectedRanges>
    <protectedRange sqref="K2:U14" name="Loonaangiftebericht"/>
    <protectedRange sqref="B1:B9" name="Persoon en IKV"/>
  </protectedRanges>
  <mergeCells count="3">
    <mergeCell ref="A11:B11"/>
    <mergeCell ref="A12:B25"/>
    <mergeCell ref="D17:E17"/>
  </mergeCells>
  <dataValidations count="8">
    <dataValidation type="list" allowBlank="1" showInputMessage="1" showErrorMessage="1" sqref="B2" xr:uid="{61230219-C225-42F2-9FD7-76E278162C86}">
      <formula1>"Maandelijks,Vierwekelijks"</formula1>
    </dataValidation>
    <dataValidation type="list" allowBlank="1" showInputMessage="1" showErrorMessage="1" sqref="B8:C8" xr:uid="{695739E1-C2F3-4C1E-85CB-D321716FE65D}">
      <formula1>"WAAR,NIET WAAR"</formula1>
    </dataValidation>
    <dataValidation type="list" allowBlank="1" showInputMessage="1" showErrorMessage="1" sqref="B1:C1" xr:uid="{23020D54-EC10-416F-9D11-22B09759CC39}">
      <formula1>"2027,2028"</formula1>
    </dataValidation>
    <dataValidation type="list" allowBlank="1" showInputMessage="1" showErrorMessage="1" sqref="C2" xr:uid="{9ADC1B4F-7F87-4993-9989-0BB2461CF529}">
      <formula1>"maandelijks,vierwekelijks"</formula1>
    </dataValidation>
    <dataValidation type="list" allowBlank="1" showInputMessage="1" showErrorMessage="1" sqref="L2:L14" xr:uid="{9EB6957E-B11D-4046-A209-F66C93D29BEB}">
      <formula1>Code_Soort_IKV</formula1>
    </dataValidation>
    <dataValidation type="list" allowBlank="1" showInputMessage="1" showErrorMessage="1" sqref="M2:M14" xr:uid="{FA19FF2E-32B0-47BD-B3DB-0838B4320117}">
      <formula1>Code_Aard_Arbeidsverhouding</formula1>
    </dataValidation>
    <dataValidation type="list" allowBlank="1" showInputMessage="1" showErrorMessage="1" sqref="K2:K14" xr:uid="{64343207-096B-4CEF-AB6E-CA26510BC063}">
      <formula1>Code_Reden_Einde_Arbeidsverhouding</formula1>
    </dataValidation>
    <dataValidation type="whole" allowBlank="1" showInputMessage="1" showErrorMessage="1" promptTitle="Handboek Loonheffingen: " prompt="Rekenkundig afgeronde hele uren" sqref="N2:N14" xr:uid="{B25E1C18-4340-422F-83F5-EB514E9C276D}">
      <formula1>-999</formula1>
      <formula2>999</formula2>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F5E5FF3F-DFCA-4E7F-AA54-F6C850C9358F}">
          <x14:formula1>
            <xm:f>rekenwaarden!$M$8:$M$12</xm:f>
          </x14:formula1>
          <xm:sqref>B6:C6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21BDC-9BA8-4C09-8643-B3710A725703}">
  <sheetPr>
    <tabColor theme="4" tint="0.39997558519241921"/>
  </sheetPr>
  <dimension ref="A1:AL30"/>
  <sheetViews>
    <sheetView showGridLines="0" zoomScale="90" zoomScaleNormal="90" workbookViewId="0">
      <pane xSplit="2" ySplit="30" topLeftCell="C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179687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8.1796875" customWidth="1"/>
    <col min="22" max="33" width="15.81640625" customWidth="1"/>
    <col min="34" max="34" width="19.453125" bestFit="1" customWidth="1"/>
    <col min="35" max="35" width="20.453125" customWidth="1"/>
    <col min="36" max="36" width="12.81640625" bestFit="1"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210" t="s">
        <v>18</v>
      </c>
      <c r="W1" s="211" t="s">
        <v>71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IF(OR(Datum_Einde_IKV="",Tabel13536151618[[#This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IF(Tabel13536151618[[#This Row],[Inkomsten-periode]]="","",DATEDIF(Geboortedatum,Tabel13536151618[[#This Row],[DatEindTv]],"Y"))</f>
        <v>33</v>
      </c>
      <c r="I2" s="146">
        <f>IF(Tabel13536151618[[#This Row],[Inkomsten-periode]]="","",IF(Datum_Aanvang_IKV="","",Datum_Aanvang_IKV))</f>
        <v>45658</v>
      </c>
      <c r="J2" s="146" t="str">
        <f>IF(Tabel13536151618[[#This Row],[Inkomsten-periode]]="","",IF(Datum_Einde_IKV="","",IF(Datum_Einde_IKV&lt;=Tabel13536151618[[#This Row],[DatEindTv]],Datum_Einde_IKV,"")))</f>
        <v/>
      </c>
      <c r="K2" s="138"/>
      <c r="L2" s="138">
        <v>15</v>
      </c>
      <c r="M2" s="138">
        <v>1</v>
      </c>
      <c r="N2" s="139">
        <f>173+5*4*2</f>
        <v>213</v>
      </c>
      <c r="O2" s="140">
        <f>4320+5*2*4*5</f>
        <v>4520</v>
      </c>
      <c r="P2" s="140">
        <v>320</v>
      </c>
      <c r="Q2" s="140">
        <v>320</v>
      </c>
      <c r="R2" s="140">
        <v>0</v>
      </c>
      <c r="S2" s="140">
        <v>0</v>
      </c>
      <c r="T2" s="140">
        <f>4320+5*2*4*5</f>
        <v>4520</v>
      </c>
      <c r="U2" s="140"/>
      <c r="V2" s="184">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Row],[OpnAvwb]],0))))</f>
        <v>4520</v>
      </c>
      <c r="W2" s="185">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Row],[AantVerlU]],0))))</f>
        <v>213</v>
      </c>
      <c r="X2" s="184"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f>
        <v/>
      </c>
      <c r="Y2" s="185"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f>
        <v/>
      </c>
    </row>
    <row r="3" spans="1:38" s="113" customFormat="1" ht="16.399999999999999" customHeight="1" x14ac:dyDescent="0.25">
      <c r="A3" s="122" t="s">
        <v>21</v>
      </c>
      <c r="B3" s="133">
        <v>34162</v>
      </c>
      <c r="C3" s="202"/>
      <c r="D3" s="145">
        <f>IF(OR(Datum_Einde_IKV&gt;G2,Datum_Einde_IKV=""),IF(AND($B$2="Maandelijks", COUNTIF($D$1:D2, 12)=1), "",IF(OR(AND($B$2="Maandelijks", D2=12),AND($B$2="Vierwekelijks", D2=13), D2 = "Periode"), 1, D2+1)),"")</f>
        <v>2</v>
      </c>
      <c r="E3" s="145" t="str">
        <f>IF(OR(Datum_Einde_IKV="",Tabel13536151618[[#This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IF(Tabel13536151618[[#This Row],[Inkomsten-periode]]="","",DATEDIF(Geboortedatum,Tabel13536151618[[#This Row],[DatEindTv]],"Y"))</f>
        <v>33</v>
      </c>
      <c r="I3" s="146">
        <f>IF(Tabel13536151618[[#This Row],[Inkomsten-periode]]="","",IF(Datum_Aanvang_IKV="","",Datum_Aanvang_IKV))</f>
        <v>45658</v>
      </c>
      <c r="J3" s="146" t="str">
        <f>IF(Tabel13536151618[[#This Row],[Inkomsten-periode]]="","",IF(Datum_Einde_IKV="","",IF(Datum_Einde_IKV&lt;=Tabel13536151618[[#This Row],[DatEindTv]],Datum_Einde_IKV,"")))</f>
        <v/>
      </c>
      <c r="K3" s="141"/>
      <c r="L3" s="141">
        <v>15</v>
      </c>
      <c r="M3" s="141">
        <v>1</v>
      </c>
      <c r="N3" s="142">
        <f>173+4*4*2</f>
        <v>205</v>
      </c>
      <c r="O3" s="143">
        <f>4320+4*2*4*5</f>
        <v>4480</v>
      </c>
      <c r="P3" s="143">
        <v>320</v>
      </c>
      <c r="Q3" s="143">
        <v>320</v>
      </c>
      <c r="R3" s="143">
        <v>0</v>
      </c>
      <c r="S3" s="143">
        <v>0</v>
      </c>
      <c r="T3" s="143">
        <f>4320+4*2*4*5</f>
        <v>4480</v>
      </c>
      <c r="U3" s="143"/>
      <c r="V3" s="184">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Row],[OpnAvwb]],0))))</f>
        <v>4480</v>
      </c>
      <c r="W3" s="186">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Row],[AantVerlU]],0))))</f>
        <v>205</v>
      </c>
      <c r="X3" s="184"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f>
        <v/>
      </c>
      <c r="Y3" s="186"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f>
        <v/>
      </c>
    </row>
    <row r="4" spans="1:38" s="113" customFormat="1" ht="16.399999999999999" customHeight="1" x14ac:dyDescent="0.25">
      <c r="A4" s="122" t="s">
        <v>22</v>
      </c>
      <c r="B4" s="134">
        <v>45658</v>
      </c>
      <c r="C4" s="202"/>
      <c r="D4" s="144">
        <f>IF(OR(Datum_Einde_IKV&gt;G3,Datum_Einde_IKV=""),IF(AND($B$2="Maandelijks", COUNTIF($D$1:D3, 12)=1), "",IF(OR(AND($B$2="Maandelijks", D3=12),AND($B$2="Vierwekelijks", D3=13), D3 = "Periode"), 1, D3+1)),"")</f>
        <v>3</v>
      </c>
      <c r="E4" s="145" t="str">
        <f>IF(OR(Datum_Einde_IKV="",Tabel13536151618[[#This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IF(Tabel13536151618[[#This Row],[Inkomsten-periode]]="","",DATEDIF(Geboortedatum,Tabel13536151618[[#This Row],[DatEindTv]],"Y"))</f>
        <v>33</v>
      </c>
      <c r="I4" s="146">
        <f>IF(Tabel13536151618[[#This Row],[Inkomsten-periode]]="","",IF(Datum_Aanvang_IKV="","",Datum_Aanvang_IKV))</f>
        <v>45658</v>
      </c>
      <c r="J4" s="146" t="str">
        <f>IF(Tabel13536151618[[#This Row],[Inkomsten-periode]]="","",IF(Datum_Einde_IKV="","",IF(Datum_Einde_IKV&lt;=Tabel13536151618[[#This Row],[DatEindTv]],Datum_Einde_IKV,"")))</f>
        <v/>
      </c>
      <c r="K4" s="138"/>
      <c r="L4" s="138">
        <v>15</v>
      </c>
      <c r="M4" s="138">
        <v>1</v>
      </c>
      <c r="N4" s="139">
        <v>205</v>
      </c>
      <c r="O4" s="140">
        <f>4320+4*2*4*5</f>
        <v>4480</v>
      </c>
      <c r="P4" s="140">
        <v>320</v>
      </c>
      <c r="Q4" s="140">
        <v>320</v>
      </c>
      <c r="R4" s="140">
        <v>0</v>
      </c>
      <c r="S4" s="140">
        <v>0</v>
      </c>
      <c r="T4" s="140">
        <f>4320+4*2*4*5</f>
        <v>4480</v>
      </c>
      <c r="U4" s="140"/>
      <c r="V4" s="184">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Row],[OpnAvwb]],0))))</f>
        <v>4480</v>
      </c>
      <c r="W4" s="186">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Row],[AantVerlU]],0))))</f>
        <v>205</v>
      </c>
      <c r="X4" s="184"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f>
        <v/>
      </c>
      <c r="Y4" s="186"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f>
        <v/>
      </c>
    </row>
    <row r="5" spans="1:38" s="113" customFormat="1" ht="16.399999999999999" customHeight="1" x14ac:dyDescent="0.25">
      <c r="A5" s="122" t="s">
        <v>23</v>
      </c>
      <c r="B5" s="133"/>
      <c r="C5" s="202"/>
      <c r="D5" s="145">
        <f>IF(OR(Datum_Einde_IKV&gt;G4,Datum_Einde_IKV=""),IF(AND($B$2="Maandelijks", COUNTIF($D$1:D4, 12)=1), "",IF(OR(AND($B$2="Maandelijks", D4=12),AND($B$2="Vierwekelijks", D4=13), D4 = "Periode"), 1, D4+1)),"")</f>
        <v>4</v>
      </c>
      <c r="E5" s="145" t="str">
        <f>IF(OR(Datum_Einde_IKV="",Tabel13536151618[[#This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IF(Tabel13536151618[[#This Row],[Inkomsten-periode]]="","",DATEDIF(Geboortedatum,Tabel13536151618[[#This Row],[DatEindTv]],"Y"))</f>
        <v>33</v>
      </c>
      <c r="I5" s="146">
        <f>IF(Tabel13536151618[[#This Row],[Inkomsten-periode]]="","",IF(Datum_Aanvang_IKV="","",Datum_Aanvang_IKV))</f>
        <v>45658</v>
      </c>
      <c r="J5" s="146" t="str">
        <f>IF(Tabel13536151618[[#This Row],[Inkomsten-periode]]="","",IF(Datum_Einde_IKV="","",IF(Datum_Einde_IKV&lt;=Tabel13536151618[[#This Row],[DatEindTv]],Datum_Einde_IKV,"")))</f>
        <v/>
      </c>
      <c r="K5" s="141"/>
      <c r="L5" s="141">
        <v>15</v>
      </c>
      <c r="M5" s="141">
        <v>1</v>
      </c>
      <c r="N5" s="142">
        <v>173</v>
      </c>
      <c r="O5" s="143">
        <v>4320</v>
      </c>
      <c r="P5" s="143">
        <v>320</v>
      </c>
      <c r="Q5" s="143">
        <v>320</v>
      </c>
      <c r="R5" s="143">
        <v>0</v>
      </c>
      <c r="S5" s="143">
        <v>0</v>
      </c>
      <c r="T5" s="143">
        <v>4320</v>
      </c>
      <c r="U5" s="143"/>
      <c r="V5" s="184">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Row],[OpnAvwb]],0))))</f>
        <v>4320</v>
      </c>
      <c r="W5" s="186">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Row],[AantVerlU]],0))))</f>
        <v>173</v>
      </c>
      <c r="X5" s="184"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f>
        <v/>
      </c>
      <c r="Y5" s="186"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f>
        <v/>
      </c>
    </row>
    <row r="6" spans="1:38" s="113" customFormat="1" ht="16.399999999999999" customHeight="1" x14ac:dyDescent="0.25">
      <c r="A6" s="122" t="s">
        <v>24</v>
      </c>
      <c r="B6" s="135" t="s">
        <v>180</v>
      </c>
      <c r="C6" s="203"/>
      <c r="D6" s="144">
        <f>IF(OR(Datum_Einde_IKV&gt;G5,Datum_Einde_IKV=""),IF(AND($B$2="Maandelijks", COUNTIF($D$1:D5, 12)=1), "",IF(OR(AND($B$2="Maandelijks", D5=12),AND($B$2="Vierwekelijks", D5=13), D5 = "Periode"), 1, D5+1)),"")</f>
        <v>5</v>
      </c>
      <c r="E6" s="145" t="str">
        <f>IF(OR(Datum_Einde_IKV="",Tabel13536151618[[#This Row],[DatAanvTv]]&lt;Datum_Einde_IKV),IF(E5="december","",IF(Verloningsperiodiciteit="maandelijks",rekenwaarden!F7,_xlfn.CONCAT("Periode ",rekenwaarden!E7))),"")</f>
        <v>mei</v>
      </c>
      <c r="F6" s="146">
        <f t="shared" si="0"/>
        <v>46508</v>
      </c>
      <c r="G6" s="146">
        <f>IF(F6="", "", IF(Verloningsperiodiciteit="Vierwekelijks", _xlfn.XLOOKUP(F6,rekenwaarden!$C$3:$C$54,rekenwaarden!$D$3:$D$54,"niet gevonden",-1), _xlfn.XLOOKUP(F6,rekenwaarden!$I$3:$I$54,rekenwaarden!$J$3:$J$54,"niet gevonden",-1)))</f>
        <v>46538</v>
      </c>
      <c r="H6" s="147">
        <f>IF(Tabel13536151618[[#This Row],[Inkomsten-periode]]="","",DATEDIF(Geboortedatum,Tabel13536151618[[#This Row],[DatEindTv]],"Y"))</f>
        <v>33</v>
      </c>
      <c r="I6" s="146">
        <f>IF(Tabel13536151618[[#This Row],[Inkomsten-periode]]="","",IF(Datum_Aanvang_IKV="","",Datum_Aanvang_IKV))</f>
        <v>45658</v>
      </c>
      <c r="J6" s="146" t="str">
        <f>IF(Tabel13536151618[[#This Row],[Inkomsten-periode]]="","",IF(Datum_Einde_IKV="","",IF(Datum_Einde_IKV&lt;=Tabel13536151618[[#This Row],[DatEindTv]],Datum_Einde_IKV,"")))</f>
        <v/>
      </c>
      <c r="K6" s="138"/>
      <c r="L6" s="138">
        <v>15</v>
      </c>
      <c r="M6" s="138">
        <v>1</v>
      </c>
      <c r="N6" s="139">
        <v>173</v>
      </c>
      <c r="O6" s="140">
        <v>4320</v>
      </c>
      <c r="P6" s="140">
        <v>320</v>
      </c>
      <c r="Q6" s="140">
        <v>320</v>
      </c>
      <c r="R6" s="140">
        <v>0</v>
      </c>
      <c r="S6" s="140">
        <v>0</v>
      </c>
      <c r="T6" s="140">
        <v>4320</v>
      </c>
      <c r="U6" s="140"/>
      <c r="V6" s="184">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Row],[OpnAvwb]],0))))</f>
        <v>4320</v>
      </c>
      <c r="W6" s="186">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Row],[AantVerlU]],0))))</f>
        <v>173</v>
      </c>
      <c r="X6" s="184"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f>
        <v/>
      </c>
      <c r="Y6" s="186"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f>
        <v/>
      </c>
    </row>
    <row r="7" spans="1:38" s="113" customFormat="1" ht="16.399999999999999" customHeight="1" x14ac:dyDescent="0.25">
      <c r="A7" s="122" t="s">
        <v>26</v>
      </c>
      <c r="B7" s="136">
        <f>VLOOKUP(B6,rekenwaarden!M8:T12,8)</f>
        <v>40</v>
      </c>
      <c r="C7" s="204"/>
      <c r="D7" s="145">
        <f>IF(OR(Datum_Einde_IKV&gt;G6,Datum_Einde_IKV=""),IF(AND($B$2="Maandelijks", COUNTIF($D$1:D6, 12)=1), "",IF(OR(AND($B$2="Maandelijks", D6=12),AND($B$2="Vierwekelijks", D6=13), D6 = "Periode"), 1, D6+1)),"")</f>
        <v>6</v>
      </c>
      <c r="E7" s="145" t="str">
        <f>IF(OR(Datum_Einde_IKV="",Tabel13536151618[[#This Row],[DatAanvTv]]&lt;Datum_Einde_IKV),IF(E6="december","",IF(Verloningsperiodiciteit="maandelijks",rekenwaarden!F8,_xlfn.CONCAT("Periode ",rekenwaarden!E8))),"")</f>
        <v>juni</v>
      </c>
      <c r="F7" s="146">
        <f t="shared" si="0"/>
        <v>46539</v>
      </c>
      <c r="G7" s="146">
        <f>IF(F7="", "", IF(Verloningsperiodiciteit="Vierwekelijks", _xlfn.XLOOKUP(F7,rekenwaarden!$C$3:$C$54,rekenwaarden!$D$3:$D$54,"niet gevonden",-1), _xlfn.XLOOKUP(F7,rekenwaarden!$I$3:$I$54,rekenwaarden!$J$3:$J$54,"niet gevonden",-1)))</f>
        <v>46568</v>
      </c>
      <c r="H7" s="147">
        <f>IF(Tabel13536151618[[#This Row],[Inkomsten-periode]]="","",DATEDIF(Geboortedatum,Tabel13536151618[[#This Row],[DatEindTv]],"Y"))</f>
        <v>33</v>
      </c>
      <c r="I7" s="146">
        <f>IF(Tabel13536151618[[#This Row],[Inkomsten-periode]]="","",IF(Datum_Aanvang_IKV="","",Datum_Aanvang_IKV))</f>
        <v>45658</v>
      </c>
      <c r="J7" s="146" t="str">
        <f>IF(Tabel13536151618[[#This Row],[Inkomsten-periode]]="","",IF(Datum_Einde_IKV="","",IF(Datum_Einde_IKV&lt;=Tabel13536151618[[#This Row],[DatEindTv]],Datum_Einde_IKV,"")))</f>
        <v/>
      </c>
      <c r="K7" s="141"/>
      <c r="L7" s="141">
        <v>15</v>
      </c>
      <c r="M7" s="141">
        <v>1</v>
      </c>
      <c r="N7" s="142">
        <v>173</v>
      </c>
      <c r="O7" s="143">
        <v>4320</v>
      </c>
      <c r="P7" s="143">
        <v>320</v>
      </c>
      <c r="Q7" s="143">
        <v>320</v>
      </c>
      <c r="R7" s="143">
        <v>0</v>
      </c>
      <c r="S7" s="143">
        <v>0</v>
      </c>
      <c r="T7" s="143">
        <v>4320</v>
      </c>
      <c r="U7" s="143"/>
      <c r="V7" s="184">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Row],[OpnAvwb]],0))))</f>
        <v>4320</v>
      </c>
      <c r="W7" s="186">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Row],[AantVerlU]],0))))</f>
        <v>173</v>
      </c>
      <c r="X7" s="184"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f>
        <v/>
      </c>
      <c r="Y7" s="186"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f>
        <v/>
      </c>
    </row>
    <row r="8" spans="1:38" s="113" customFormat="1" ht="16.399999999999999" customHeight="1" x14ac:dyDescent="0.25">
      <c r="A8" s="122" t="s">
        <v>27</v>
      </c>
      <c r="B8" s="137" t="b">
        <v>1</v>
      </c>
      <c r="C8" s="202"/>
      <c r="D8" s="144">
        <f>IF(OR(Datum_Einde_IKV&gt;G7,Datum_Einde_IKV=""),IF(AND($B$2="Maandelijks", COUNTIF($D$1:D7, 12)=1), "",IF(OR(AND($B$2="Maandelijks", D7=12),AND($B$2="Vierwekelijks", D7=13), D7 = "Periode"), 1, D7+1)),"")</f>
        <v>7</v>
      </c>
      <c r="E8" s="145" t="str">
        <f>IF(OR(Datum_Einde_IKV="",Tabel13536151618[[#This Row],[DatAanvTv]]&lt;Datum_Einde_IKV),IF(E7="december","",IF(Verloningsperiodiciteit="maandelijks",rekenwaarden!F9,_xlfn.CONCAT("Periode ",rekenwaarden!E9))),"")</f>
        <v>juli</v>
      </c>
      <c r="F8" s="146">
        <f t="shared" si="0"/>
        <v>46569</v>
      </c>
      <c r="G8" s="146">
        <f>IF(F8="", "", IF(Verloningsperiodiciteit="Vierwekelijks", _xlfn.XLOOKUP(F8,rekenwaarden!$C$3:$C$54,rekenwaarden!$D$3:$D$54,"niet gevonden",-1), _xlfn.XLOOKUP(F8,rekenwaarden!$I$3:$I$54,rekenwaarden!$J$3:$J$54,"niet gevonden",-1)))</f>
        <v>46599</v>
      </c>
      <c r="H8" s="147">
        <f>IF(Tabel13536151618[[#This Row],[Inkomsten-periode]]="","",DATEDIF(Geboortedatum,Tabel13536151618[[#This Row],[DatEindTv]],"Y"))</f>
        <v>34</v>
      </c>
      <c r="I8" s="146">
        <f>IF(Tabel13536151618[[#This Row],[Inkomsten-periode]]="","",IF(Datum_Aanvang_IKV="","",Datum_Aanvang_IKV))</f>
        <v>45658</v>
      </c>
      <c r="J8" s="146" t="str">
        <f>IF(Tabel13536151618[[#This Row],[Inkomsten-periode]]="","",IF(Datum_Einde_IKV="","",IF(Datum_Einde_IKV&lt;=Tabel13536151618[[#This Row],[DatEindTv]],Datum_Einde_IKV,"")))</f>
        <v/>
      </c>
      <c r="K8" s="138"/>
      <c r="L8" s="138">
        <v>15</v>
      </c>
      <c r="M8" s="138">
        <v>1</v>
      </c>
      <c r="N8" s="139">
        <v>173</v>
      </c>
      <c r="O8" s="140">
        <v>4320</v>
      </c>
      <c r="P8" s="140">
        <v>320</v>
      </c>
      <c r="Q8" s="140">
        <v>320</v>
      </c>
      <c r="R8" s="140">
        <v>0</v>
      </c>
      <c r="S8" s="140">
        <v>0</v>
      </c>
      <c r="T8" s="140">
        <v>4320</v>
      </c>
      <c r="U8" s="140"/>
      <c r="V8" s="184">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Row],[OpnAvwb]],0))))</f>
        <v>4320</v>
      </c>
      <c r="W8" s="186">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Row],[AantVerlU]],0))))</f>
        <v>173</v>
      </c>
      <c r="X8" s="184"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f>
        <v/>
      </c>
      <c r="Y8" s="186"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f>
        <v/>
      </c>
    </row>
    <row r="9" spans="1:38" s="113" customFormat="1" ht="16.399999999999999" customHeight="1" x14ac:dyDescent="0.25">
      <c r="A9" s="122"/>
      <c r="B9" s="131"/>
      <c r="C9" s="200"/>
      <c r="D9" s="145">
        <f>IF(OR(Datum_Einde_IKV&gt;G8,Datum_Einde_IKV=""),IF(AND($B$2="Maandelijks", COUNTIF($D$1:D8, 12)=1), "",IF(OR(AND($B$2="Maandelijks", D8=12),AND($B$2="Vierwekelijks", D8=13), D8 = "Periode"), 1, D8+1)),"")</f>
        <v>8</v>
      </c>
      <c r="E9" s="145" t="str">
        <f>IF(OR(Datum_Einde_IKV="",Tabel13536151618[[#This Row],[DatAanvTv]]&lt;Datum_Einde_IKV),IF(E8="december","",IF(Verloningsperiodiciteit="maandelijks",rekenwaarden!F10,_xlfn.CONCAT("Periode ",rekenwaarden!E10))),"")</f>
        <v>augustus</v>
      </c>
      <c r="F9" s="146">
        <f t="shared" si="0"/>
        <v>46600</v>
      </c>
      <c r="G9" s="146">
        <f>IF(F9="", "", IF(Verloningsperiodiciteit="Vierwekelijks", _xlfn.XLOOKUP(F9,rekenwaarden!$C$3:$C$54,rekenwaarden!$D$3:$D$54,"niet gevonden",-1), _xlfn.XLOOKUP(F9,rekenwaarden!$I$3:$I$54,rekenwaarden!$J$3:$J$54,"niet gevonden",-1)))</f>
        <v>46630</v>
      </c>
      <c r="H9" s="147">
        <f>IF(Tabel13536151618[[#This Row],[Inkomsten-periode]]="","",DATEDIF(Geboortedatum,Tabel13536151618[[#This Row],[DatEindTv]],"Y"))</f>
        <v>34</v>
      </c>
      <c r="I9" s="146">
        <f>IF(Tabel13536151618[[#This Row],[Inkomsten-periode]]="","",IF(Datum_Aanvang_IKV="","",Datum_Aanvang_IKV))</f>
        <v>45658</v>
      </c>
      <c r="J9" s="146" t="str">
        <f>IF(Tabel13536151618[[#This Row],[Inkomsten-periode]]="","",IF(Datum_Einde_IKV="","",IF(Datum_Einde_IKV&lt;=Tabel13536151618[[#This Row],[DatEindTv]],Datum_Einde_IKV,"")))</f>
        <v/>
      </c>
      <c r="K9" s="141"/>
      <c r="L9" s="141">
        <v>15</v>
      </c>
      <c r="M9" s="141">
        <v>1</v>
      </c>
      <c r="N9" s="142">
        <v>173</v>
      </c>
      <c r="O9" s="143">
        <v>4320</v>
      </c>
      <c r="P9" s="143">
        <v>320</v>
      </c>
      <c r="Q9" s="143">
        <v>320</v>
      </c>
      <c r="R9" s="143">
        <v>0</v>
      </c>
      <c r="S9" s="143">
        <v>0</v>
      </c>
      <c r="T9" s="143">
        <v>4320</v>
      </c>
      <c r="U9" s="143"/>
      <c r="V9" s="184">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Row],[OpnAvwb]],0))))</f>
        <v>4320</v>
      </c>
      <c r="W9" s="186">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Row],[AantVerlU]],0))))</f>
        <v>173</v>
      </c>
      <c r="X9" s="184"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f>
        <v/>
      </c>
      <c r="Y9" s="186"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f>
        <v/>
      </c>
    </row>
    <row r="10" spans="1:38" s="113" customFormat="1" ht="16.399999999999999" customHeight="1" thickBot="1" x14ac:dyDescent="0.3">
      <c r="A10" s="200"/>
      <c r="B10" s="200"/>
      <c r="C10" s="200"/>
      <c r="D10" s="144">
        <f>IF(OR(Datum_Einde_IKV&gt;G9,Datum_Einde_IKV=""),IF(AND($B$2="Maandelijks", COUNTIF($D$1:D9, 12)=1), "",IF(OR(AND($B$2="Maandelijks", D9=12),AND($B$2="Vierwekelijks", D9=13), D9 = "Periode"), 1, D9+1)),"")</f>
        <v>9</v>
      </c>
      <c r="E10" s="145" t="str">
        <f>IF(OR(Datum_Einde_IKV="",Tabel13536151618[[#This Row],[DatAanvTv]]&lt;Datum_Einde_IKV),IF(E9="december","",IF(Verloningsperiodiciteit="maandelijks",rekenwaarden!F11,_xlfn.CONCAT("Periode ",rekenwaarden!E11))),"")</f>
        <v>september</v>
      </c>
      <c r="F10" s="146">
        <f t="shared" si="0"/>
        <v>46631</v>
      </c>
      <c r="G10" s="146">
        <f>IF(F10="", "", IF(Verloningsperiodiciteit="Vierwekelijks", _xlfn.XLOOKUP(F10,rekenwaarden!$C$3:$C$54,rekenwaarden!$D$3:$D$54,"niet gevonden",-1), _xlfn.XLOOKUP(F10,rekenwaarden!$I$3:$I$54,rekenwaarden!$J$3:$J$54,"niet gevonden",-1)))</f>
        <v>46660</v>
      </c>
      <c r="H10" s="147">
        <f>IF(Tabel13536151618[[#This Row],[Inkomsten-periode]]="","",DATEDIF(Geboortedatum,Tabel13536151618[[#This Row],[DatEindTv]],"Y"))</f>
        <v>34</v>
      </c>
      <c r="I10" s="146">
        <f>IF(Tabel13536151618[[#This Row],[Inkomsten-periode]]="","",IF(Datum_Aanvang_IKV="","",Datum_Aanvang_IKV))</f>
        <v>45658</v>
      </c>
      <c r="J10" s="146" t="str">
        <f>IF(Tabel13536151618[[#This Row],[Inkomsten-periode]]="","",IF(Datum_Einde_IKV="","",IF(Datum_Einde_IKV&lt;=Tabel13536151618[[#This Row],[DatEindTv]],Datum_Einde_IKV,"")))</f>
        <v/>
      </c>
      <c r="K10" s="138"/>
      <c r="L10" s="138">
        <v>15</v>
      </c>
      <c r="M10" s="138">
        <v>1</v>
      </c>
      <c r="N10" s="139">
        <v>173</v>
      </c>
      <c r="O10" s="140">
        <v>4320</v>
      </c>
      <c r="P10" s="140">
        <v>320</v>
      </c>
      <c r="Q10" s="140">
        <v>320</v>
      </c>
      <c r="R10" s="140">
        <v>0</v>
      </c>
      <c r="S10" s="140">
        <v>0</v>
      </c>
      <c r="T10" s="140">
        <v>4320</v>
      </c>
      <c r="U10" s="140"/>
      <c r="V10" s="184">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Row],[OpnAvwb]],0))))</f>
        <v>4320</v>
      </c>
      <c r="W10" s="186">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Row],[AantVerlU]],0))))</f>
        <v>173</v>
      </c>
      <c r="X10" s="184"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f>
        <v/>
      </c>
      <c r="Y10" s="186"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f>
        <v/>
      </c>
    </row>
    <row r="11" spans="1:38" s="113" customFormat="1" ht="16.399999999999999" customHeight="1" x14ac:dyDescent="0.25">
      <c r="A11" s="245" t="s">
        <v>65</v>
      </c>
      <c r="B11" s="246"/>
      <c r="C11" s="200"/>
      <c r="D11" s="145">
        <f>IF(OR(Datum_Einde_IKV&gt;G10,Datum_Einde_IKV=""),IF(AND($B$2="Maandelijks", COUNTIF($D$1:D10, 12)=1), "",IF(OR(AND($B$2="Maandelijks", D10=12),AND($B$2="Vierwekelijks", D10=13), D10 = "Periode"), 1, D10+1)),"")</f>
        <v>10</v>
      </c>
      <c r="E11" s="145" t="str">
        <f>IF(OR(Datum_Einde_IKV="",Tabel13536151618[[#This Row],[DatAanvTv]]&lt;Datum_Einde_IKV),IF(E10="december","",IF(Verloningsperiodiciteit="maandelijks",rekenwaarden!F12,_xlfn.CONCAT("Periode ",rekenwaarden!E12))),"")</f>
        <v>oktober</v>
      </c>
      <c r="F11" s="146">
        <f t="shared" si="0"/>
        <v>46661</v>
      </c>
      <c r="G11" s="146">
        <f>IF(F11="", "", IF(Verloningsperiodiciteit="Vierwekelijks", _xlfn.XLOOKUP(F11,rekenwaarden!$C$3:$C$54,rekenwaarden!$D$3:$D$54,"niet gevonden",-1), _xlfn.XLOOKUP(F11,rekenwaarden!$I$3:$I$54,rekenwaarden!$J$3:$J$54,"niet gevonden",-1)))</f>
        <v>46691</v>
      </c>
      <c r="H11" s="147">
        <f>IF(Tabel13536151618[[#This Row],[Inkomsten-periode]]="","",DATEDIF(Geboortedatum,Tabel13536151618[[#This Row],[DatEindTv]],"Y"))</f>
        <v>34</v>
      </c>
      <c r="I11" s="146">
        <f>IF(Tabel13536151618[[#This Row],[Inkomsten-periode]]="","",IF(Datum_Aanvang_IKV="","",Datum_Aanvang_IKV))</f>
        <v>45658</v>
      </c>
      <c r="J11" s="146" t="str">
        <f>IF(Tabel13536151618[[#This Row],[Inkomsten-periode]]="","",IF(Datum_Einde_IKV="","",IF(Datum_Einde_IKV&lt;=Tabel13536151618[[#This Row],[DatEindTv]],Datum_Einde_IKV,"")))</f>
        <v/>
      </c>
      <c r="K11" s="141"/>
      <c r="L11" s="141">
        <v>15</v>
      </c>
      <c r="M11" s="141">
        <v>1</v>
      </c>
      <c r="N11" s="142">
        <v>173</v>
      </c>
      <c r="O11" s="143">
        <v>4320</v>
      </c>
      <c r="P11" s="143">
        <v>320</v>
      </c>
      <c r="Q11" s="143">
        <v>320</v>
      </c>
      <c r="R11" s="143">
        <v>0</v>
      </c>
      <c r="S11" s="143">
        <v>0</v>
      </c>
      <c r="T11" s="143">
        <v>4320</v>
      </c>
      <c r="U11" s="143"/>
      <c r="V11" s="184">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Row],[OpnAvwb]],0))))</f>
        <v>4320</v>
      </c>
      <c r="W11" s="186">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Row],[AantVerlU]],0))))</f>
        <v>173</v>
      </c>
      <c r="X11" s="184"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f>
        <v/>
      </c>
      <c r="Y11" s="186"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f>
        <v/>
      </c>
    </row>
    <row r="12" spans="1:38" s="113" customFormat="1" ht="16.399999999999999" customHeight="1" x14ac:dyDescent="0.25">
      <c r="A12" s="249" t="s">
        <v>183</v>
      </c>
      <c r="B12" s="250"/>
      <c r="C12" s="200"/>
      <c r="D12" s="144">
        <f>IF(OR(Datum_Einde_IKV&gt;G11,Datum_Einde_IKV=""),IF(AND($B$2="Maandelijks", COUNTIF($D$1:D11, 12)=1), "",IF(OR(AND($B$2="Maandelijks", D11=12),AND($B$2="Vierwekelijks", D11=13), D11 = "Periode"), 1, D11+1)),"")</f>
        <v>11</v>
      </c>
      <c r="E12" s="145" t="str">
        <f>IF(OR(Datum_Einde_IKV="",Tabel13536151618[[#This Row],[DatAanvTv]]&lt;Datum_Einde_IKV),IF(E11="december","",IF(Verloningsperiodiciteit="maandelijks",rekenwaarden!F13,_xlfn.CONCAT("Periode ",rekenwaarden!E13))),"")</f>
        <v>november</v>
      </c>
      <c r="F12" s="146">
        <f t="shared" si="0"/>
        <v>46692</v>
      </c>
      <c r="G12" s="146">
        <f>IF(F12="", "", IF(Verloningsperiodiciteit="Vierwekelijks", _xlfn.XLOOKUP(F12,rekenwaarden!$C$3:$C$54,rekenwaarden!$D$3:$D$54,"niet gevonden",-1), _xlfn.XLOOKUP(F12,rekenwaarden!$I$3:$I$54,rekenwaarden!$J$3:$J$54,"niet gevonden",-1)))</f>
        <v>46721</v>
      </c>
      <c r="H12" s="147">
        <f>IF(Tabel13536151618[[#This Row],[Inkomsten-periode]]="","",DATEDIF(Geboortedatum,Tabel13536151618[[#This Row],[DatEindTv]],"Y"))</f>
        <v>34</v>
      </c>
      <c r="I12" s="146">
        <f>IF(Tabel13536151618[[#This Row],[Inkomsten-periode]]="","",IF(Datum_Aanvang_IKV="","",Datum_Aanvang_IKV))</f>
        <v>45658</v>
      </c>
      <c r="J12" s="146" t="str">
        <f>IF(Tabel13536151618[[#This Row],[Inkomsten-periode]]="","",IF(Datum_Einde_IKV="","",IF(Datum_Einde_IKV&lt;=Tabel13536151618[[#This Row],[DatEindTv]],Datum_Einde_IKV,"")))</f>
        <v/>
      </c>
      <c r="K12" s="138"/>
      <c r="L12" s="138">
        <v>15</v>
      </c>
      <c r="M12" s="138">
        <v>1</v>
      </c>
      <c r="N12" s="139">
        <v>173</v>
      </c>
      <c r="O12" s="140">
        <v>4320</v>
      </c>
      <c r="P12" s="140">
        <v>320</v>
      </c>
      <c r="Q12" s="140">
        <v>320</v>
      </c>
      <c r="R12" s="140">
        <v>0</v>
      </c>
      <c r="S12" s="140">
        <v>0</v>
      </c>
      <c r="T12" s="140">
        <v>4320</v>
      </c>
      <c r="U12" s="140"/>
      <c r="V12" s="184">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Row],[OpnAvwb]],0))))</f>
        <v>4320</v>
      </c>
      <c r="W12" s="186">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Row],[AantVerlU]],0))))</f>
        <v>173</v>
      </c>
      <c r="X12" s="184"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f>
        <v/>
      </c>
      <c r="Y12" s="186"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f>
        <v/>
      </c>
    </row>
    <row r="13" spans="1:38" s="113" customFormat="1" ht="16.399999999999999" customHeight="1" x14ac:dyDescent="0.25">
      <c r="A13" s="249"/>
      <c r="B13" s="250"/>
      <c r="C13" s="200"/>
      <c r="D13" s="145">
        <f>IF(OR(Datum_Einde_IKV&gt;G12,Datum_Einde_IKV=""),IF(AND($B$2="Maandelijks", COUNTIF($D$1:D12, 12)=1), "",IF(OR(AND($B$2="Maandelijks", D12=12),AND($B$2="Vierwekelijks", D12=13), D12 = "Periode"), 1, D12+1)),"")</f>
        <v>12</v>
      </c>
      <c r="E13" s="145" t="str">
        <f>IF(OR(Datum_Einde_IKV="",Tabel13536151618[[#This Row],[DatAanvTv]]&lt;Datum_Einde_IKV),IF(E12="december","",IF(Verloningsperiodiciteit="maandelijks",rekenwaarden!F14,_xlfn.CONCAT("Periode ",rekenwaarden!E14))),"")</f>
        <v>december</v>
      </c>
      <c r="F13" s="146">
        <f t="shared" si="0"/>
        <v>46722</v>
      </c>
      <c r="G13" s="146">
        <f>IF(F13="", "", IF(Verloningsperiodiciteit="Vierwekelijks", _xlfn.XLOOKUP(F13,rekenwaarden!$C$3:$C$54,rekenwaarden!$D$3:$D$54,"niet gevonden",-1), _xlfn.XLOOKUP(F13,rekenwaarden!$I$3:$I$54,rekenwaarden!$J$3:$J$54,"niet gevonden",-1)))</f>
        <v>46752</v>
      </c>
      <c r="H13" s="147">
        <f>IF(Tabel13536151618[[#This Row],[Inkomsten-periode]]="","",DATEDIF(Geboortedatum,Tabel13536151618[[#This Row],[DatEindTv]],"Y"))</f>
        <v>34</v>
      </c>
      <c r="I13" s="146">
        <f>IF(Tabel13536151618[[#This Row],[Inkomsten-periode]]="","",IF(Datum_Aanvang_IKV="","",Datum_Aanvang_IKV))</f>
        <v>45658</v>
      </c>
      <c r="J13" s="146" t="str">
        <f>IF(Tabel13536151618[[#This Row],[Inkomsten-periode]]="","",IF(Datum_Einde_IKV="","",IF(Datum_Einde_IKV&lt;=Tabel13536151618[[#This Row],[DatEindTv]],Datum_Einde_IKV,"")))</f>
        <v/>
      </c>
      <c r="K13" s="141"/>
      <c r="L13" s="141">
        <v>15</v>
      </c>
      <c r="M13" s="141">
        <v>1</v>
      </c>
      <c r="N13" s="142">
        <v>173</v>
      </c>
      <c r="O13" s="143">
        <v>4320</v>
      </c>
      <c r="P13" s="143">
        <v>320</v>
      </c>
      <c r="Q13" s="143">
        <v>320</v>
      </c>
      <c r="R13" s="143">
        <v>0</v>
      </c>
      <c r="S13" s="143">
        <v>0</v>
      </c>
      <c r="T13" s="143">
        <v>4320</v>
      </c>
      <c r="U13" s="143"/>
      <c r="V13" s="184">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Row],[OpnAvwb]],0))))</f>
        <v>4320</v>
      </c>
      <c r="W13" s="186">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Row],[AantVerlU]],0))))</f>
        <v>173</v>
      </c>
      <c r="X13" s="184"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f>
        <v/>
      </c>
      <c r="Y13" s="186"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f>
        <v/>
      </c>
    </row>
    <row r="14" spans="1:38" s="113" customFormat="1" ht="16.399999999999999" customHeight="1" x14ac:dyDescent="0.25">
      <c r="A14" s="249"/>
      <c r="B14" s="250"/>
      <c r="C14" s="200"/>
      <c r="D14" s="144" t="str">
        <f>IF(OR(Datum_Einde_IKV&gt;G13,Datum_Einde_IKV=""),IF(AND($B$2="Maandelijks", COUNTIF($D$1:D13, 12)=1), "",IF(OR(AND($B$2="Maandelijks", D13=12),AND($B$2="Vierwekelijks", D13=13), D13 = "Periode"), 1, D13+1)),"")</f>
        <v/>
      </c>
      <c r="E14" s="145" t="str">
        <f>IF(OR(Datum_Einde_IKV="",Tabel13536151618[[#This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IF(Tabel13536151618[[#This Row],[Inkomsten-periode]]="","",DATEDIF(Geboortedatum,Tabel13536151618[[#This Row],[DatEindTv]],"Y"))</f>
        <v/>
      </c>
      <c r="I14" s="146" t="str">
        <f>IF(Tabel13536151618[[#This Row],[Inkomsten-periode]]="","",IF(Datum_Aanvang_IKV="","",Datum_Aanvang_IKV))</f>
        <v/>
      </c>
      <c r="J14" s="146" t="str">
        <f>IF(Tabel13536151618[[#This Row],[Inkomsten-periode]]="","",IF(Datum_Einde_IKV="","",IF(Datum_Einde_IKV&lt;=Tabel13536151618[[#This Row],[DatEindTv]],Datum_Einde_IKV,"")))</f>
        <v/>
      </c>
      <c r="K14" s="138"/>
      <c r="L14" s="138"/>
      <c r="M14" s="138"/>
      <c r="N14" s="139"/>
      <c r="O14" s="140"/>
      <c r="P14" s="140"/>
      <c r="Q14" s="140"/>
      <c r="R14" s="140"/>
      <c r="S14" s="140"/>
      <c r="T14" s="140"/>
      <c r="U14" s="140"/>
      <c r="V14" s="184" t="str">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Row],[OpnAvwb]],0))))</f>
        <v/>
      </c>
      <c r="W14" s="187" t="str">
        <f>IF(Tabel13536151618[[#This Row],[Inkomsten-periode]]="","",IF(OR(Tabel13536151618[[#This Row],[Leeftijd]]&lt;18,Tabel13536151618[[#This Row],[Leeftijd]]&gt;=68),0,IF(Tabel13536151618[[#This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Row],[AantVerlU]],0))))</f>
        <v/>
      </c>
      <c r="X14" s="184"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Row],[LnInGld]]+Tabel13536151618[[#This Row],[OpgRchtVakBsl]]-Tabel13536151618[[#This Row],[VakBsl]]+Tabel13536151618[[#This Row],[OpbAvwb]]-Tabel13536151618[[#This Row],[OpnAvwb]],"")),"")</f>
        <v/>
      </c>
      <c r="Y14" s="187" t="str">
        <f>IF(Tabel13536151618[[#This Row],[Inkomsten-periode]]="",IF(Tabel13536151618[[#This Row],[CdRdnEindArbov]]=33,0,IF(AND(OR(Tabel13536151618[[#This Row],[SrtIV]]=13,Tabel13536151618[[#This Row],[SrtIV]]=15,Tabel13536151618[[#This Row],[SrtIV]]=31),OR(Tabel13536151618[[#This Row],[CdAard]]=1,Tabel13536151618[[#This Row],[CdAard]]=11,Tabel13536151618[[#This Row],[CdAard]]=82,Tabel13536151618[[#This Row],[CdAard]]=83)),Tabel13536151618[[#This Row],[AantVerlU]],"")),"")</f>
        <v/>
      </c>
    </row>
    <row r="15" spans="1:38" ht="16.399999999999999" customHeight="1" thickBot="1" x14ac:dyDescent="0.3">
      <c r="A15" s="249"/>
      <c r="B15" s="250"/>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6.399999999999999" customHeight="1" x14ac:dyDescent="0.35">
      <c r="A16" s="249"/>
      <c r="B16" s="250"/>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249"/>
      <c r="B17" s="250"/>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249"/>
      <c r="B18" s="250"/>
      <c r="C18" s="200"/>
      <c r="D18" s="163">
        <f>D2</f>
        <v>1</v>
      </c>
      <c r="E18" s="150" t="str">
        <f>E2</f>
        <v>januari</v>
      </c>
      <c r="F18" s="151">
        <f>F2</f>
        <v>46388</v>
      </c>
      <c r="G18" s="151">
        <f>G2</f>
        <v>46418</v>
      </c>
      <c r="H18" s="188">
        <f t="shared" ref="H18:H30" si="1">IF(AND(W2="",Y2=""),"",MAX(W2,Y2))</f>
        <v>213</v>
      </c>
      <c r="I18" s="191">
        <f t="shared" ref="I18:I30" si="2">IF(AND(V2="",X2=""),"",MAX(V2,X2))</f>
        <v>4520</v>
      </c>
      <c r="J18" s="188">
        <f>IF($E18="","",IF($E19="",SUM(H18:H$30),H18))</f>
        <v>213</v>
      </c>
      <c r="K18" s="191">
        <f>IF($E18="","",IF($E19="",SUM(I18:I$30),I18))</f>
        <v>4520</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4520</v>
      </c>
      <c r="T18" s="157">
        <f t="shared" ref="T18:T30" si="10">IF(M18="","",J18+IF(AND(D18&lt;&gt;1, T17&lt;&gt;""),T17,0))</f>
        <v>213</v>
      </c>
      <c r="U18" s="157">
        <f t="shared" ref="U18:U30" si="11">IF(M18="","",R18+IF(AND(D18&lt;&gt;1, U17&lt;&gt;""),U17,0))</f>
        <v>173.33333333333334</v>
      </c>
      <c r="V18" s="158">
        <f>IF(M18="",0,T18/U18)</f>
        <v>1.2288461538461537</v>
      </c>
      <c r="W18" s="159">
        <f>IF(M18="","",VLOOKUP($B$6,rekenwaarden!M$8:N$12,2))</f>
        <v>9.4499999999999993</v>
      </c>
      <c r="X18" s="160">
        <f t="shared" ref="X18:X30" si="12">IF(M18="","",W18*J18)</f>
        <v>2012.85</v>
      </c>
      <c r="Y18" s="160">
        <f t="shared" ref="Y18:Y30" si="13">IF(M18="","",X18+IF(AND(D18&lt;&gt;1, Y17&lt;&gt;""),Y17,0))</f>
        <v>2012.85</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2507.15</v>
      </c>
      <c r="AE18" s="160">
        <f t="shared" ref="AE18:AE30" si="17">IF(M18="","",AD18-IF(AND(D18&lt;&gt;1, AD17&lt;&gt;""),AD17,0))</f>
        <v>2507.15</v>
      </c>
      <c r="AF18" s="160">
        <f>IF(OR($B$8="ONWAAR", M18=""), "", MAX(MIN(S18, AC18*MIN(1, V18))-AA18*MIN(1, V18), 0))</f>
        <v>0</v>
      </c>
      <c r="AG18" s="160">
        <f t="shared" ref="AG18:AG30" si="18">IF(OR(M18="", AF18=""),"",AF18-IF(AND(D18&lt;&gt;1, AF17&lt;&gt;""),AF17,0))</f>
        <v>0</v>
      </c>
      <c r="AH18" s="161">
        <f t="shared" ref="AH18:AH30" ca="1" si="19">IF($M18="", "", AE18*INDIRECT(CONCATENATE("premiepct", YEAR(F18))))</f>
        <v>744.62355000000002</v>
      </c>
      <c r="AI18" s="161">
        <f ca="1">IF(OR($F$4=FALSE, M18=""), "", AG18*INDIRECT(CONCATENATE("premiepct", YEAR($F18))))</f>
        <v>0</v>
      </c>
      <c r="AJ18" s="161"/>
      <c r="AK18" s="161"/>
      <c r="AL18" s="164">
        <f ca="1">IF(M18="","",SUM(AH18:AK18))</f>
        <v>744.62355000000002</v>
      </c>
    </row>
    <row r="19" spans="1:38" s="113" customFormat="1" ht="15.65" customHeight="1" x14ac:dyDescent="0.25">
      <c r="A19" s="249"/>
      <c r="B19" s="250"/>
      <c r="C19" s="200"/>
      <c r="D19" s="163">
        <f t="shared" ref="D19:G30" si="20">D3</f>
        <v>2</v>
      </c>
      <c r="E19" s="150" t="str">
        <f t="shared" si="20"/>
        <v>februari</v>
      </c>
      <c r="F19" s="151">
        <f t="shared" si="20"/>
        <v>46419</v>
      </c>
      <c r="G19" s="151">
        <f t="shared" si="20"/>
        <v>46446</v>
      </c>
      <c r="H19" s="189">
        <f t="shared" si="1"/>
        <v>205</v>
      </c>
      <c r="I19" s="192">
        <f t="shared" si="2"/>
        <v>4480</v>
      </c>
      <c r="J19" s="189">
        <f>IF($E19="","",IF($E20="",SUM(H19:H$30),H19))</f>
        <v>205</v>
      </c>
      <c r="K19" s="192">
        <f>IF($E19="","",IF($E20="",SUM(I19:I$30),I19))</f>
        <v>4480</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9000</v>
      </c>
      <c r="T19" s="157">
        <f t="shared" si="10"/>
        <v>418</v>
      </c>
      <c r="U19" s="157">
        <f t="shared" si="11"/>
        <v>346.66666666666669</v>
      </c>
      <c r="V19" s="158">
        <f t="shared" ref="V19:V30" si="22">IF(M19="","",T19/U19)</f>
        <v>1.2057692307692307</v>
      </c>
      <c r="W19" s="159">
        <f>IF(M19="","",VLOOKUP($B$6,rekenwaarden!M$8:N$12,2))</f>
        <v>9.4499999999999993</v>
      </c>
      <c r="X19" s="160">
        <f t="shared" si="12"/>
        <v>1937.2499999999998</v>
      </c>
      <c r="Y19" s="160">
        <f t="shared" si="13"/>
        <v>3950.0999999999995</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5049.9000000000005</v>
      </c>
      <c r="AE19" s="160">
        <f t="shared" si="17"/>
        <v>2542.7500000000005</v>
      </c>
      <c r="AF19" s="160">
        <f t="shared" ref="AF19:AF30" si="23">IF(OR($B$8="ONWAAR", M19=""), "", MAX(MIN(S19, AC19*MIN(1, V19))-AA19*MIN(1, V19), 0))</f>
        <v>0</v>
      </c>
      <c r="AG19" s="160">
        <f t="shared" si="18"/>
        <v>0</v>
      </c>
      <c r="AH19" s="161">
        <f t="shared" ca="1" si="19"/>
        <v>755.19675000000007</v>
      </c>
      <c r="AI19" s="161">
        <f t="shared" ref="AI19:AI30" ca="1" si="24">IF(OR($F$4=FALSE, M19=""), "", AG19*INDIRECT(CONCATENATE("premiepct", YEAR($F19))))</f>
        <v>0</v>
      </c>
      <c r="AJ19" s="161"/>
      <c r="AK19" s="161"/>
      <c r="AL19" s="164">
        <f t="shared" ref="AL19:AL30" ca="1" si="25">IF(M19="","",SUM(AH19:AK19))</f>
        <v>755.19675000000007</v>
      </c>
    </row>
    <row r="20" spans="1:38" s="113" customFormat="1" ht="15.65" customHeight="1" x14ac:dyDescent="0.25">
      <c r="A20" s="249"/>
      <c r="B20" s="250"/>
      <c r="C20" s="200"/>
      <c r="D20" s="163">
        <f t="shared" si="20"/>
        <v>3</v>
      </c>
      <c r="E20" s="150" t="str">
        <f t="shared" si="20"/>
        <v>maart</v>
      </c>
      <c r="F20" s="151">
        <f t="shared" si="20"/>
        <v>46447</v>
      </c>
      <c r="G20" s="151">
        <f t="shared" si="20"/>
        <v>46477</v>
      </c>
      <c r="H20" s="188">
        <f t="shared" si="1"/>
        <v>205</v>
      </c>
      <c r="I20" s="191">
        <f t="shared" si="2"/>
        <v>4480</v>
      </c>
      <c r="J20" s="188">
        <f>IF($E20="","",IF($E21="",SUM(H20:H$30),H20))</f>
        <v>205</v>
      </c>
      <c r="K20" s="191">
        <f>IF($E20="","",IF($E21="",SUM(I20:I$30),I20))</f>
        <v>4480</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13480</v>
      </c>
      <c r="T20" s="157">
        <f t="shared" si="10"/>
        <v>623</v>
      </c>
      <c r="U20" s="157">
        <f t="shared" si="11"/>
        <v>520</v>
      </c>
      <c r="V20" s="158">
        <f t="shared" si="22"/>
        <v>1.198076923076923</v>
      </c>
      <c r="W20" s="159">
        <f>IF(M20="","",VLOOKUP($B$6,rekenwaarden!M$8:N$12,2))</f>
        <v>9.4499999999999993</v>
      </c>
      <c r="X20" s="160">
        <f t="shared" si="12"/>
        <v>1937.2499999999998</v>
      </c>
      <c r="Y20" s="160">
        <f t="shared" si="13"/>
        <v>5887.3499999999995</v>
      </c>
      <c r="Z20" s="160">
        <f>IF(M20="","", VLOOKUP(B$6,rekenwaarden!M$8:T$12,3)*Q20)</f>
        <v>6617.4166666666661</v>
      </c>
      <c r="AA20" s="160">
        <f t="shared" si="14"/>
        <v>19852.25</v>
      </c>
      <c r="AB20" s="160">
        <f>IF(M20="","", VLOOKUP($B$6,rekenwaarden!M$8:T$12,4)*Q20)</f>
        <v>11483.333333333332</v>
      </c>
      <c r="AC20" s="160">
        <f t="shared" si="15"/>
        <v>34450</v>
      </c>
      <c r="AD20" s="160">
        <f t="shared" si="16"/>
        <v>7592.6500000000005</v>
      </c>
      <c r="AE20" s="160">
        <f t="shared" si="17"/>
        <v>2542.75</v>
      </c>
      <c r="AF20" s="160">
        <f t="shared" si="23"/>
        <v>0</v>
      </c>
      <c r="AG20" s="160">
        <f t="shared" si="18"/>
        <v>0</v>
      </c>
      <c r="AH20" s="161">
        <f t="shared" ca="1" si="19"/>
        <v>755.19674999999995</v>
      </c>
      <c r="AI20" s="161">
        <f t="shared" ca="1" si="24"/>
        <v>0</v>
      </c>
      <c r="AJ20" s="161"/>
      <c r="AK20" s="161"/>
      <c r="AL20" s="164">
        <f t="shared" ca="1" si="25"/>
        <v>755.19674999999995</v>
      </c>
    </row>
    <row r="21" spans="1:38" s="113" customFormat="1" ht="15.65" customHeight="1" x14ac:dyDescent="0.25">
      <c r="A21" s="249"/>
      <c r="B21" s="250"/>
      <c r="C21" s="200"/>
      <c r="D21" s="163">
        <f t="shared" si="20"/>
        <v>4</v>
      </c>
      <c r="E21" s="150" t="str">
        <f t="shared" si="20"/>
        <v>april</v>
      </c>
      <c r="F21" s="151">
        <f t="shared" si="20"/>
        <v>46478</v>
      </c>
      <c r="G21" s="151">
        <f t="shared" si="20"/>
        <v>46507</v>
      </c>
      <c r="H21" s="189">
        <f t="shared" si="1"/>
        <v>173</v>
      </c>
      <c r="I21" s="192">
        <f t="shared" si="2"/>
        <v>4320</v>
      </c>
      <c r="J21" s="189">
        <f>IF($E21="","",IF($E22="",SUM(H21:H$30),H21))</f>
        <v>173</v>
      </c>
      <c r="K21" s="192">
        <f>IF($E21="","",IF($E22="",SUM(I21:I$30),I21))</f>
        <v>4320</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17800</v>
      </c>
      <c r="T21" s="157">
        <f t="shared" si="10"/>
        <v>796</v>
      </c>
      <c r="U21" s="157">
        <f t="shared" si="11"/>
        <v>693.33333333333337</v>
      </c>
      <c r="V21" s="158">
        <f t="shared" si="22"/>
        <v>1.148076923076923</v>
      </c>
      <c r="W21" s="159">
        <f>IF(M21="","",VLOOKUP($B$6,rekenwaarden!M$8:N$12,2))</f>
        <v>9.4499999999999993</v>
      </c>
      <c r="X21" s="160">
        <f t="shared" si="12"/>
        <v>1634.85</v>
      </c>
      <c r="Y21" s="160">
        <f t="shared" si="13"/>
        <v>7522.1999999999989</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10277.800000000001</v>
      </c>
      <c r="AE21" s="160">
        <f t="shared" si="17"/>
        <v>2685.1500000000005</v>
      </c>
      <c r="AF21" s="160">
        <f t="shared" si="23"/>
        <v>0</v>
      </c>
      <c r="AG21" s="160">
        <f t="shared" si="18"/>
        <v>0</v>
      </c>
      <c r="AH21" s="161">
        <f t="shared" ca="1" si="19"/>
        <v>797.48955000000012</v>
      </c>
      <c r="AI21" s="161">
        <f t="shared" ca="1" si="24"/>
        <v>0</v>
      </c>
      <c r="AJ21" s="161"/>
      <c r="AK21" s="161"/>
      <c r="AL21" s="164">
        <f t="shared" ca="1" si="25"/>
        <v>797.48955000000012</v>
      </c>
    </row>
    <row r="22" spans="1:38" s="113" customFormat="1" ht="15.65" customHeight="1" x14ac:dyDescent="0.25">
      <c r="A22" s="249"/>
      <c r="B22" s="250"/>
      <c r="C22" s="200"/>
      <c r="D22" s="163">
        <f t="shared" si="20"/>
        <v>5</v>
      </c>
      <c r="E22" s="150" t="str">
        <f t="shared" si="20"/>
        <v>mei</v>
      </c>
      <c r="F22" s="151">
        <f t="shared" si="20"/>
        <v>46508</v>
      </c>
      <c r="G22" s="151">
        <f t="shared" si="20"/>
        <v>46538</v>
      </c>
      <c r="H22" s="188">
        <f t="shared" si="1"/>
        <v>173</v>
      </c>
      <c r="I22" s="191">
        <f t="shared" si="2"/>
        <v>4320</v>
      </c>
      <c r="J22" s="188">
        <f>IF($E22="","",IF($E23="",SUM(H22:H$30),H22))</f>
        <v>173</v>
      </c>
      <c r="K22" s="191">
        <f>IF($E22="","",IF($E23="",SUM(I22:I$30),I22))</f>
        <v>4320</v>
      </c>
      <c r="L22" s="152">
        <f t="shared" si="3"/>
        <v>40</v>
      </c>
      <c r="M22" s="151">
        <f t="shared" si="4"/>
        <v>46508</v>
      </c>
      <c r="N22" s="151">
        <f t="shared" si="5"/>
        <v>46538</v>
      </c>
      <c r="O22" s="150">
        <f t="shared" si="21"/>
        <v>31</v>
      </c>
      <c r="P22" s="153">
        <f t="shared" si="6"/>
        <v>1</v>
      </c>
      <c r="Q22" s="154">
        <f t="shared" si="7"/>
        <v>8.3333333333333329E-2</v>
      </c>
      <c r="R22" s="155">
        <f t="shared" si="8"/>
        <v>173.33333333333334</v>
      </c>
      <c r="S22" s="156">
        <f t="shared" si="9"/>
        <v>22120</v>
      </c>
      <c r="T22" s="157">
        <f t="shared" si="10"/>
        <v>969</v>
      </c>
      <c r="U22" s="157">
        <f t="shared" si="11"/>
        <v>866.66666666666674</v>
      </c>
      <c r="V22" s="158">
        <f t="shared" si="22"/>
        <v>1.118076923076923</v>
      </c>
      <c r="W22" s="159">
        <f>IF(M22="","",VLOOKUP($B$6,rekenwaarden!M$8:N$12,2))</f>
        <v>9.4499999999999993</v>
      </c>
      <c r="X22" s="160">
        <f t="shared" si="12"/>
        <v>1634.85</v>
      </c>
      <c r="Y22" s="160">
        <f t="shared" si="13"/>
        <v>9157.0499999999993</v>
      </c>
      <c r="Z22" s="160">
        <f>IF(M22="","", VLOOKUP(B$6,rekenwaarden!M$8:T$12,3)*Q22)</f>
        <v>6617.4166666666661</v>
      </c>
      <c r="AA22" s="160">
        <f t="shared" si="14"/>
        <v>33087.083333333328</v>
      </c>
      <c r="AB22" s="160">
        <f>IF(M22="","", VLOOKUP($B$6,rekenwaarden!M$8:T$12,4)*Q22)</f>
        <v>11483.333333333332</v>
      </c>
      <c r="AC22" s="160">
        <f t="shared" si="15"/>
        <v>57416.666666666657</v>
      </c>
      <c r="AD22" s="160">
        <f t="shared" si="16"/>
        <v>12962.95</v>
      </c>
      <c r="AE22" s="160">
        <f t="shared" si="17"/>
        <v>2685.1499999999996</v>
      </c>
      <c r="AF22" s="160">
        <f t="shared" si="23"/>
        <v>0</v>
      </c>
      <c r="AG22" s="160">
        <f t="shared" si="18"/>
        <v>0</v>
      </c>
      <c r="AH22" s="161">
        <f t="shared" ca="1" si="19"/>
        <v>797.48954999999989</v>
      </c>
      <c r="AI22" s="161">
        <f t="shared" ca="1" si="24"/>
        <v>0</v>
      </c>
      <c r="AJ22" s="161"/>
      <c r="AK22" s="161"/>
      <c r="AL22" s="164">
        <f t="shared" ca="1" si="25"/>
        <v>797.48954999999989</v>
      </c>
    </row>
    <row r="23" spans="1:38" s="113" customFormat="1" ht="15.65" customHeight="1" x14ac:dyDescent="0.25">
      <c r="A23" s="249"/>
      <c r="B23" s="250"/>
      <c r="C23" s="200"/>
      <c r="D23" s="163">
        <f t="shared" si="20"/>
        <v>6</v>
      </c>
      <c r="E23" s="150" t="str">
        <f t="shared" si="20"/>
        <v>juni</v>
      </c>
      <c r="F23" s="151">
        <f t="shared" si="20"/>
        <v>46539</v>
      </c>
      <c r="G23" s="151">
        <f t="shared" si="20"/>
        <v>46568</v>
      </c>
      <c r="H23" s="189">
        <f t="shared" si="1"/>
        <v>173</v>
      </c>
      <c r="I23" s="192">
        <f t="shared" si="2"/>
        <v>4320</v>
      </c>
      <c r="J23" s="189">
        <f>IF($E23="","",IF($E24="",SUM(H23:H$30),H23))</f>
        <v>173</v>
      </c>
      <c r="K23" s="192">
        <f>IF($E23="","",IF($E24="",SUM(I23:I$30),I23))</f>
        <v>4320</v>
      </c>
      <c r="L23" s="152">
        <f t="shared" si="3"/>
        <v>40</v>
      </c>
      <c r="M23" s="151">
        <f t="shared" si="4"/>
        <v>46539</v>
      </c>
      <c r="N23" s="151">
        <f t="shared" si="5"/>
        <v>46568</v>
      </c>
      <c r="O23" s="150">
        <f t="shared" si="21"/>
        <v>30</v>
      </c>
      <c r="P23" s="153">
        <f t="shared" si="6"/>
        <v>1</v>
      </c>
      <c r="Q23" s="154">
        <f t="shared" si="7"/>
        <v>8.3333333333333329E-2</v>
      </c>
      <c r="R23" s="155">
        <f t="shared" si="8"/>
        <v>173.33333333333334</v>
      </c>
      <c r="S23" s="156">
        <f t="shared" si="9"/>
        <v>26440</v>
      </c>
      <c r="T23" s="157">
        <f t="shared" si="10"/>
        <v>1142</v>
      </c>
      <c r="U23" s="157">
        <f t="shared" si="11"/>
        <v>1040</v>
      </c>
      <c r="V23" s="158">
        <f t="shared" si="22"/>
        <v>1.0980769230769232</v>
      </c>
      <c r="W23" s="159">
        <f>IF(M23="","",VLOOKUP($B$6,rekenwaarden!M$8:N$12,2))</f>
        <v>9.4499999999999993</v>
      </c>
      <c r="X23" s="160">
        <f t="shared" si="12"/>
        <v>1634.85</v>
      </c>
      <c r="Y23" s="160">
        <f t="shared" si="13"/>
        <v>10791.9</v>
      </c>
      <c r="Z23" s="160">
        <f>IF(M23="","", VLOOKUP(B$6,rekenwaarden!M$8:T$12,3)*Q23)</f>
        <v>6617.4166666666661</v>
      </c>
      <c r="AA23" s="160">
        <f t="shared" si="14"/>
        <v>39704.499999999993</v>
      </c>
      <c r="AB23" s="160">
        <f>IF(M23="","", VLOOKUP($B$6,rekenwaarden!M$8:T$12,4)*Q23)</f>
        <v>11483.333333333332</v>
      </c>
      <c r="AC23" s="160">
        <f t="shared" si="15"/>
        <v>68899.999999999985</v>
      </c>
      <c r="AD23" s="160">
        <f t="shared" si="16"/>
        <v>15648.1</v>
      </c>
      <c r="AE23" s="160">
        <f t="shared" si="17"/>
        <v>2685.1499999999996</v>
      </c>
      <c r="AF23" s="160">
        <f t="shared" si="23"/>
        <v>0</v>
      </c>
      <c r="AG23" s="160">
        <f t="shared" si="18"/>
        <v>0</v>
      </c>
      <c r="AH23" s="161">
        <f t="shared" ca="1" si="19"/>
        <v>797.48954999999989</v>
      </c>
      <c r="AI23" s="161">
        <f t="shared" ca="1" si="24"/>
        <v>0</v>
      </c>
      <c r="AJ23" s="161"/>
      <c r="AK23" s="161"/>
      <c r="AL23" s="164">
        <f t="shared" ca="1" si="25"/>
        <v>797.48954999999989</v>
      </c>
    </row>
    <row r="24" spans="1:38" s="113" customFormat="1" ht="15.65" customHeight="1" x14ac:dyDescent="0.25">
      <c r="A24" s="249"/>
      <c r="B24" s="250"/>
      <c r="C24" s="200"/>
      <c r="D24" s="163">
        <f t="shared" si="20"/>
        <v>7</v>
      </c>
      <c r="E24" s="150" t="str">
        <f t="shared" si="20"/>
        <v>juli</v>
      </c>
      <c r="F24" s="151">
        <f t="shared" si="20"/>
        <v>46569</v>
      </c>
      <c r="G24" s="151">
        <f t="shared" si="20"/>
        <v>46599</v>
      </c>
      <c r="H24" s="188">
        <f t="shared" si="1"/>
        <v>173</v>
      </c>
      <c r="I24" s="191">
        <f t="shared" si="2"/>
        <v>4320</v>
      </c>
      <c r="J24" s="188">
        <f>IF($E24="","",IF($E25="",SUM(H24:H$30),H24))</f>
        <v>173</v>
      </c>
      <c r="K24" s="191">
        <f>IF($E24="","",IF($E25="",SUM(I24:I$30),I24))</f>
        <v>4320</v>
      </c>
      <c r="L24" s="152">
        <f t="shared" si="3"/>
        <v>40</v>
      </c>
      <c r="M24" s="151">
        <f t="shared" si="4"/>
        <v>46569</v>
      </c>
      <c r="N24" s="151">
        <f t="shared" si="5"/>
        <v>46599</v>
      </c>
      <c r="O24" s="150">
        <f t="shared" si="21"/>
        <v>31</v>
      </c>
      <c r="P24" s="153">
        <f t="shared" si="6"/>
        <v>1</v>
      </c>
      <c r="Q24" s="154">
        <f t="shared" si="7"/>
        <v>8.3333333333333329E-2</v>
      </c>
      <c r="R24" s="155">
        <f t="shared" si="8"/>
        <v>173.33333333333334</v>
      </c>
      <c r="S24" s="156">
        <f t="shared" si="9"/>
        <v>30760</v>
      </c>
      <c r="T24" s="157">
        <f t="shared" si="10"/>
        <v>1315</v>
      </c>
      <c r="U24" s="157">
        <f t="shared" si="11"/>
        <v>1213.3333333333333</v>
      </c>
      <c r="V24" s="158">
        <f t="shared" si="22"/>
        <v>1.0837912087912089</v>
      </c>
      <c r="W24" s="159">
        <f>IF(M24="","",VLOOKUP($B$6,rekenwaarden!M$8:N$12,2))</f>
        <v>9.4499999999999993</v>
      </c>
      <c r="X24" s="160">
        <f t="shared" si="12"/>
        <v>1634.85</v>
      </c>
      <c r="Y24" s="160">
        <f t="shared" si="13"/>
        <v>12426.75</v>
      </c>
      <c r="Z24" s="160">
        <f>IF(M24="","", VLOOKUP(B$6,rekenwaarden!M$8:T$12,3)*Q24)</f>
        <v>6617.4166666666661</v>
      </c>
      <c r="AA24" s="160">
        <f t="shared" si="14"/>
        <v>46321.916666666657</v>
      </c>
      <c r="AB24" s="160">
        <f>IF(M24="","", VLOOKUP($B$6,rekenwaarden!M$8:T$12,4)*Q24)</f>
        <v>11483.333333333332</v>
      </c>
      <c r="AC24" s="160">
        <f t="shared" si="15"/>
        <v>80383.333333333314</v>
      </c>
      <c r="AD24" s="160">
        <f t="shared" si="16"/>
        <v>18333.25</v>
      </c>
      <c r="AE24" s="160">
        <f t="shared" si="17"/>
        <v>2685.1499999999996</v>
      </c>
      <c r="AF24" s="160">
        <f t="shared" si="23"/>
        <v>0</v>
      </c>
      <c r="AG24" s="160">
        <f t="shared" si="18"/>
        <v>0</v>
      </c>
      <c r="AH24" s="161">
        <f t="shared" ca="1" si="19"/>
        <v>797.48954999999989</v>
      </c>
      <c r="AI24" s="161">
        <f t="shared" ca="1" si="24"/>
        <v>0</v>
      </c>
      <c r="AJ24" s="161"/>
      <c r="AK24" s="161"/>
      <c r="AL24" s="164">
        <f t="shared" ca="1" si="25"/>
        <v>797.48954999999989</v>
      </c>
    </row>
    <row r="25" spans="1:38" s="113" customFormat="1" ht="15.65" customHeight="1" x14ac:dyDescent="0.25">
      <c r="A25" s="249"/>
      <c r="B25" s="250"/>
      <c r="C25" s="200"/>
      <c r="D25" s="163">
        <f t="shared" si="20"/>
        <v>8</v>
      </c>
      <c r="E25" s="150" t="str">
        <f t="shared" si="20"/>
        <v>augustus</v>
      </c>
      <c r="F25" s="151">
        <f t="shared" si="20"/>
        <v>46600</v>
      </c>
      <c r="G25" s="151">
        <f t="shared" si="20"/>
        <v>46630</v>
      </c>
      <c r="H25" s="189">
        <f t="shared" si="1"/>
        <v>173</v>
      </c>
      <c r="I25" s="192">
        <f t="shared" si="2"/>
        <v>4320</v>
      </c>
      <c r="J25" s="189">
        <f>IF($E25="","",IF($E26="",SUM(H25:H$30),H25))</f>
        <v>173</v>
      </c>
      <c r="K25" s="192">
        <f>IF($E25="","",IF($E26="",SUM(I25:I$30),I25))</f>
        <v>4320</v>
      </c>
      <c r="L25" s="152">
        <f t="shared" si="3"/>
        <v>40</v>
      </c>
      <c r="M25" s="151">
        <f t="shared" si="4"/>
        <v>46600</v>
      </c>
      <c r="N25" s="151">
        <f t="shared" si="5"/>
        <v>46630</v>
      </c>
      <c r="O25" s="150">
        <f t="shared" si="21"/>
        <v>31</v>
      </c>
      <c r="P25" s="153">
        <f t="shared" si="6"/>
        <v>1</v>
      </c>
      <c r="Q25" s="154">
        <f t="shared" si="7"/>
        <v>8.3333333333333329E-2</v>
      </c>
      <c r="R25" s="155">
        <f t="shared" si="8"/>
        <v>173.33333333333334</v>
      </c>
      <c r="S25" s="156">
        <f t="shared" si="9"/>
        <v>35080</v>
      </c>
      <c r="T25" s="157">
        <f t="shared" si="10"/>
        <v>1488</v>
      </c>
      <c r="U25" s="157">
        <f t="shared" si="11"/>
        <v>1386.6666666666665</v>
      </c>
      <c r="V25" s="158">
        <f t="shared" si="22"/>
        <v>1.0730769230769233</v>
      </c>
      <c r="W25" s="159">
        <f>IF(M25="","",VLOOKUP($B$6,rekenwaarden!M$8:N$12,2))</f>
        <v>9.4499999999999993</v>
      </c>
      <c r="X25" s="160">
        <f t="shared" si="12"/>
        <v>1634.85</v>
      </c>
      <c r="Y25" s="160">
        <f t="shared" si="13"/>
        <v>14061.6</v>
      </c>
      <c r="Z25" s="160">
        <f>IF(M25="","", VLOOKUP(B$6,rekenwaarden!M$8:T$12,3)*Q25)</f>
        <v>6617.4166666666661</v>
      </c>
      <c r="AA25" s="160">
        <f t="shared" si="14"/>
        <v>52939.333333333321</v>
      </c>
      <c r="AB25" s="160">
        <f>IF(M25="","", VLOOKUP($B$6,rekenwaarden!M$8:T$12,4)*Q25)</f>
        <v>11483.333333333332</v>
      </c>
      <c r="AC25" s="160">
        <f t="shared" si="15"/>
        <v>91866.666666666642</v>
      </c>
      <c r="AD25" s="160">
        <f t="shared" si="16"/>
        <v>21018.400000000001</v>
      </c>
      <c r="AE25" s="160">
        <f t="shared" si="17"/>
        <v>2685.1500000000015</v>
      </c>
      <c r="AF25" s="160">
        <f t="shared" si="23"/>
        <v>0</v>
      </c>
      <c r="AG25" s="160">
        <f t="shared" si="18"/>
        <v>0</v>
      </c>
      <c r="AH25" s="161">
        <f t="shared" ca="1" si="19"/>
        <v>797.48955000000035</v>
      </c>
      <c r="AI25" s="161">
        <f t="shared" ca="1" si="24"/>
        <v>0</v>
      </c>
      <c r="AJ25" s="161"/>
      <c r="AK25" s="161"/>
      <c r="AL25" s="164">
        <f t="shared" ca="1" si="25"/>
        <v>797.48955000000035</v>
      </c>
    </row>
    <row r="26" spans="1:38" s="113" customFormat="1" ht="15.65" customHeight="1" x14ac:dyDescent="0.25">
      <c r="A26" s="125"/>
      <c r="B26" s="126"/>
      <c r="C26" s="200"/>
      <c r="D26" s="163">
        <f t="shared" si="20"/>
        <v>9</v>
      </c>
      <c r="E26" s="150" t="str">
        <f t="shared" si="20"/>
        <v>september</v>
      </c>
      <c r="F26" s="151">
        <f t="shared" si="20"/>
        <v>46631</v>
      </c>
      <c r="G26" s="151">
        <f t="shared" si="20"/>
        <v>46660</v>
      </c>
      <c r="H26" s="188">
        <f t="shared" si="1"/>
        <v>173</v>
      </c>
      <c r="I26" s="191">
        <f t="shared" si="2"/>
        <v>4320</v>
      </c>
      <c r="J26" s="188">
        <f>IF($E26="","",IF($E27="",SUM(H26:H$30),H26))</f>
        <v>173</v>
      </c>
      <c r="K26" s="191">
        <f>IF($E26="","",IF($E27="",SUM(I26:I$30),I26))</f>
        <v>4320</v>
      </c>
      <c r="L26" s="152">
        <f t="shared" si="3"/>
        <v>40</v>
      </c>
      <c r="M26" s="151">
        <f t="shared" si="4"/>
        <v>46631</v>
      </c>
      <c r="N26" s="151">
        <f t="shared" si="5"/>
        <v>46660</v>
      </c>
      <c r="O26" s="150">
        <f t="shared" si="21"/>
        <v>30</v>
      </c>
      <c r="P26" s="153">
        <f t="shared" si="6"/>
        <v>1</v>
      </c>
      <c r="Q26" s="154">
        <f t="shared" si="7"/>
        <v>8.3333333333333329E-2</v>
      </c>
      <c r="R26" s="155">
        <f t="shared" si="8"/>
        <v>173.33333333333334</v>
      </c>
      <c r="S26" s="156">
        <f t="shared" si="9"/>
        <v>39400</v>
      </c>
      <c r="T26" s="157">
        <f t="shared" si="10"/>
        <v>1661</v>
      </c>
      <c r="U26" s="157">
        <f t="shared" si="11"/>
        <v>1559.9999999999998</v>
      </c>
      <c r="V26" s="158">
        <f t="shared" si="22"/>
        <v>1.06474358974359</v>
      </c>
      <c r="W26" s="159">
        <f>IF(M26="","",VLOOKUP($B$6,rekenwaarden!M$8:N$12,2))</f>
        <v>9.4499999999999993</v>
      </c>
      <c r="X26" s="160">
        <f t="shared" si="12"/>
        <v>1634.85</v>
      </c>
      <c r="Y26" s="160">
        <f t="shared" si="13"/>
        <v>15696.45</v>
      </c>
      <c r="Z26" s="160">
        <f>IF(M26="","", VLOOKUP(B$6,rekenwaarden!M$8:T$12,3)*Q26)</f>
        <v>6617.4166666666661</v>
      </c>
      <c r="AA26" s="160">
        <f t="shared" si="14"/>
        <v>59556.749999999985</v>
      </c>
      <c r="AB26" s="160">
        <f>IF(M26="","", VLOOKUP($B$6,rekenwaarden!M$8:T$12,4)*Q26)</f>
        <v>11483.333333333332</v>
      </c>
      <c r="AC26" s="160">
        <f t="shared" si="15"/>
        <v>103349.99999999997</v>
      </c>
      <c r="AD26" s="160">
        <f t="shared" si="16"/>
        <v>23703.55</v>
      </c>
      <c r="AE26" s="160">
        <f t="shared" si="17"/>
        <v>2685.1499999999978</v>
      </c>
      <c r="AF26" s="160">
        <f t="shared" si="23"/>
        <v>0</v>
      </c>
      <c r="AG26" s="160">
        <f t="shared" si="18"/>
        <v>0</v>
      </c>
      <c r="AH26" s="161">
        <f t="shared" ca="1" si="19"/>
        <v>797.48954999999933</v>
      </c>
      <c r="AI26" s="161">
        <f t="shared" ca="1" si="24"/>
        <v>0</v>
      </c>
      <c r="AJ26" s="161"/>
      <c r="AK26" s="161"/>
      <c r="AL26" s="164">
        <f t="shared" ca="1" si="25"/>
        <v>797.48954999999933</v>
      </c>
    </row>
    <row r="27" spans="1:38" s="113" customFormat="1" ht="15.65" customHeight="1" x14ac:dyDescent="0.25">
      <c r="A27" s="125"/>
      <c r="B27" s="126"/>
      <c r="C27" s="200"/>
      <c r="D27" s="163">
        <f t="shared" si="20"/>
        <v>10</v>
      </c>
      <c r="E27" s="150" t="str">
        <f t="shared" si="20"/>
        <v>oktober</v>
      </c>
      <c r="F27" s="151">
        <f t="shared" si="20"/>
        <v>46661</v>
      </c>
      <c r="G27" s="151">
        <f t="shared" si="20"/>
        <v>46691</v>
      </c>
      <c r="H27" s="189">
        <f t="shared" si="1"/>
        <v>173</v>
      </c>
      <c r="I27" s="192">
        <f t="shared" si="2"/>
        <v>4320</v>
      </c>
      <c r="J27" s="189">
        <f>IF($E27="","",IF($E28="",SUM(H27:H$30),H27))</f>
        <v>173</v>
      </c>
      <c r="K27" s="192">
        <f>IF($E27="","",IF($E28="",SUM(I27:I$30),I27))</f>
        <v>4320</v>
      </c>
      <c r="L27" s="152">
        <f t="shared" si="3"/>
        <v>40</v>
      </c>
      <c r="M27" s="151">
        <f t="shared" si="4"/>
        <v>46661</v>
      </c>
      <c r="N27" s="151">
        <f t="shared" si="5"/>
        <v>46691</v>
      </c>
      <c r="O27" s="150">
        <f t="shared" si="21"/>
        <v>31</v>
      </c>
      <c r="P27" s="153">
        <f t="shared" si="6"/>
        <v>1</v>
      </c>
      <c r="Q27" s="154">
        <f t="shared" si="7"/>
        <v>8.3333333333333329E-2</v>
      </c>
      <c r="R27" s="155">
        <f t="shared" si="8"/>
        <v>173.33333333333334</v>
      </c>
      <c r="S27" s="156">
        <f t="shared" si="9"/>
        <v>43720</v>
      </c>
      <c r="T27" s="157">
        <f t="shared" si="10"/>
        <v>1834</v>
      </c>
      <c r="U27" s="157">
        <f t="shared" si="11"/>
        <v>1733.333333333333</v>
      </c>
      <c r="V27" s="158">
        <f t="shared" si="22"/>
        <v>1.0580769230769234</v>
      </c>
      <c r="W27" s="159">
        <f>IF(M27="","",VLOOKUP($B$6,rekenwaarden!M$8:N$12,2))</f>
        <v>9.4499999999999993</v>
      </c>
      <c r="X27" s="160">
        <f t="shared" si="12"/>
        <v>1634.85</v>
      </c>
      <c r="Y27" s="160">
        <f t="shared" si="13"/>
        <v>17331.3</v>
      </c>
      <c r="Z27" s="160">
        <f>IF(M27="","", VLOOKUP(B$6,rekenwaarden!M$8:T$12,3)*Q27)</f>
        <v>6617.4166666666661</v>
      </c>
      <c r="AA27" s="160">
        <f t="shared" si="14"/>
        <v>66174.166666666657</v>
      </c>
      <c r="AB27" s="160">
        <f>IF(M27="","", VLOOKUP($B$6,rekenwaarden!M$8:T$12,4)*Q27)</f>
        <v>11483.333333333332</v>
      </c>
      <c r="AC27" s="160">
        <f t="shared" si="15"/>
        <v>114833.3333333333</v>
      </c>
      <c r="AD27" s="160">
        <f t="shared" si="16"/>
        <v>26388.7</v>
      </c>
      <c r="AE27" s="160">
        <f t="shared" si="17"/>
        <v>2685.1500000000015</v>
      </c>
      <c r="AF27" s="160">
        <f t="shared" si="23"/>
        <v>0</v>
      </c>
      <c r="AG27" s="160">
        <f t="shared" si="18"/>
        <v>0</v>
      </c>
      <c r="AH27" s="161">
        <f t="shared" ca="1" si="19"/>
        <v>797.48955000000035</v>
      </c>
      <c r="AI27" s="161">
        <f t="shared" ca="1" si="24"/>
        <v>0</v>
      </c>
      <c r="AJ27" s="161"/>
      <c r="AK27" s="161"/>
      <c r="AL27" s="164">
        <f t="shared" ca="1" si="25"/>
        <v>797.48955000000035</v>
      </c>
    </row>
    <row r="28" spans="1:38" s="113" customFormat="1" ht="15.65" customHeight="1" x14ac:dyDescent="0.25">
      <c r="A28" s="125"/>
      <c r="B28" s="126"/>
      <c r="C28" s="200"/>
      <c r="D28" s="163">
        <f t="shared" si="20"/>
        <v>11</v>
      </c>
      <c r="E28" s="150" t="str">
        <f t="shared" si="20"/>
        <v>november</v>
      </c>
      <c r="F28" s="151">
        <f t="shared" si="20"/>
        <v>46692</v>
      </c>
      <c r="G28" s="151">
        <f t="shared" si="20"/>
        <v>46721</v>
      </c>
      <c r="H28" s="188">
        <f t="shared" si="1"/>
        <v>173</v>
      </c>
      <c r="I28" s="191">
        <f t="shared" si="2"/>
        <v>4320</v>
      </c>
      <c r="J28" s="188">
        <f>IF($E28="","",IF($E29="",SUM(H28:H$30),H28))</f>
        <v>173</v>
      </c>
      <c r="K28" s="191">
        <f>IF($E28="","",IF($E29="",SUM(I28:I$30),I28))</f>
        <v>4320</v>
      </c>
      <c r="L28" s="152">
        <f t="shared" si="3"/>
        <v>40</v>
      </c>
      <c r="M28" s="151">
        <f t="shared" si="4"/>
        <v>46692</v>
      </c>
      <c r="N28" s="151">
        <f t="shared" si="5"/>
        <v>46721</v>
      </c>
      <c r="O28" s="150">
        <f t="shared" si="21"/>
        <v>30</v>
      </c>
      <c r="P28" s="153">
        <f t="shared" si="6"/>
        <v>1</v>
      </c>
      <c r="Q28" s="154">
        <f t="shared" si="7"/>
        <v>8.3333333333333329E-2</v>
      </c>
      <c r="R28" s="155">
        <f t="shared" si="8"/>
        <v>173.33333333333334</v>
      </c>
      <c r="S28" s="156">
        <f t="shared" si="9"/>
        <v>48040</v>
      </c>
      <c r="T28" s="157">
        <f t="shared" si="10"/>
        <v>2007</v>
      </c>
      <c r="U28" s="157">
        <f t="shared" si="11"/>
        <v>1906.6666666666663</v>
      </c>
      <c r="V28" s="158">
        <f t="shared" si="22"/>
        <v>1.0526223776223778</v>
      </c>
      <c r="W28" s="159">
        <f>IF(M28="","",VLOOKUP($B$6,rekenwaarden!M$8:N$12,2))</f>
        <v>9.4499999999999993</v>
      </c>
      <c r="X28" s="160">
        <f t="shared" si="12"/>
        <v>1634.85</v>
      </c>
      <c r="Y28" s="160">
        <f t="shared" si="13"/>
        <v>18966.149999999998</v>
      </c>
      <c r="Z28" s="160">
        <f>IF(M28="","", VLOOKUP(B$6,rekenwaarden!M$8:T$12,3)*Q28)</f>
        <v>6617.4166666666661</v>
      </c>
      <c r="AA28" s="160">
        <f t="shared" si="14"/>
        <v>72791.583333333328</v>
      </c>
      <c r="AB28" s="160">
        <f>IF(M28="","", VLOOKUP($B$6,rekenwaarden!M$8:T$12,4)*Q28)</f>
        <v>11483.333333333332</v>
      </c>
      <c r="AC28" s="160">
        <f t="shared" si="15"/>
        <v>126316.66666666663</v>
      </c>
      <c r="AD28" s="160">
        <f t="shared" si="16"/>
        <v>29073.850000000002</v>
      </c>
      <c r="AE28" s="160">
        <f t="shared" si="17"/>
        <v>2685.1500000000015</v>
      </c>
      <c r="AF28" s="160">
        <f t="shared" si="23"/>
        <v>0</v>
      </c>
      <c r="AG28" s="160">
        <f t="shared" si="18"/>
        <v>0</v>
      </c>
      <c r="AH28" s="161">
        <f t="shared" ca="1" si="19"/>
        <v>797.48955000000035</v>
      </c>
      <c r="AI28" s="161">
        <f t="shared" ca="1" si="24"/>
        <v>0</v>
      </c>
      <c r="AJ28" s="161"/>
      <c r="AK28" s="161"/>
      <c r="AL28" s="164">
        <f t="shared" ca="1" si="25"/>
        <v>797.48955000000035</v>
      </c>
    </row>
    <row r="29" spans="1:38" s="113" customFormat="1" ht="15.65" customHeight="1" x14ac:dyDescent="0.25">
      <c r="A29" s="125"/>
      <c r="B29" s="126"/>
      <c r="C29" s="200"/>
      <c r="D29" s="163">
        <f t="shared" si="20"/>
        <v>12</v>
      </c>
      <c r="E29" s="150" t="str">
        <f t="shared" si="20"/>
        <v>december</v>
      </c>
      <c r="F29" s="151">
        <f t="shared" si="20"/>
        <v>46722</v>
      </c>
      <c r="G29" s="151">
        <f t="shared" si="20"/>
        <v>46752</v>
      </c>
      <c r="H29" s="189">
        <f t="shared" si="1"/>
        <v>173</v>
      </c>
      <c r="I29" s="192">
        <f t="shared" si="2"/>
        <v>4320</v>
      </c>
      <c r="J29" s="189">
        <f>IF($E29="","",IF($E30="",SUM(H29:H$30),H29))</f>
        <v>173</v>
      </c>
      <c r="K29" s="192">
        <f>IF($E29="","",IF($E30="",SUM(I29:I$30),I29))</f>
        <v>4320</v>
      </c>
      <c r="L29" s="152">
        <f t="shared" si="3"/>
        <v>40</v>
      </c>
      <c r="M29" s="151">
        <f t="shared" si="4"/>
        <v>46722</v>
      </c>
      <c r="N29" s="151">
        <f t="shared" si="5"/>
        <v>46752</v>
      </c>
      <c r="O29" s="150">
        <f t="shared" si="21"/>
        <v>31</v>
      </c>
      <c r="P29" s="153">
        <f t="shared" si="6"/>
        <v>1</v>
      </c>
      <c r="Q29" s="154">
        <f t="shared" si="7"/>
        <v>8.3333333333333329E-2</v>
      </c>
      <c r="R29" s="155">
        <f t="shared" si="8"/>
        <v>173.33333333333334</v>
      </c>
      <c r="S29" s="156">
        <f t="shared" si="9"/>
        <v>52360</v>
      </c>
      <c r="T29" s="157">
        <f t="shared" si="10"/>
        <v>2180</v>
      </c>
      <c r="U29" s="157">
        <f t="shared" si="11"/>
        <v>2079.9999999999995</v>
      </c>
      <c r="V29" s="158">
        <f t="shared" si="22"/>
        <v>1.0480769230769234</v>
      </c>
      <c r="W29" s="159">
        <f>IF(M29="","",VLOOKUP($B$6,rekenwaarden!M$8:N$12,2))</f>
        <v>9.4499999999999993</v>
      </c>
      <c r="X29" s="160">
        <f t="shared" si="12"/>
        <v>1634.85</v>
      </c>
      <c r="Y29" s="160">
        <f t="shared" si="13"/>
        <v>20600.999999999996</v>
      </c>
      <c r="Z29" s="160">
        <f>IF(M29="","", VLOOKUP(B$6,rekenwaarden!M$8:T$12,3)*Q29)</f>
        <v>6617.4166666666661</v>
      </c>
      <c r="AA29" s="160">
        <f t="shared" si="14"/>
        <v>79409</v>
      </c>
      <c r="AB29" s="160">
        <f>IF(M29="","", VLOOKUP($B$6,rekenwaarden!M$8:T$12,4)*Q29)</f>
        <v>11483.333333333332</v>
      </c>
      <c r="AC29" s="160">
        <f t="shared" si="15"/>
        <v>137799.99999999997</v>
      </c>
      <c r="AD29" s="160">
        <f t="shared" si="16"/>
        <v>31759.000000000004</v>
      </c>
      <c r="AE29" s="160">
        <f t="shared" si="17"/>
        <v>2685.1500000000015</v>
      </c>
      <c r="AF29" s="160">
        <f t="shared" si="23"/>
        <v>0</v>
      </c>
      <c r="AG29" s="160">
        <f t="shared" si="18"/>
        <v>0</v>
      </c>
      <c r="AH29" s="161">
        <f t="shared" ca="1" si="19"/>
        <v>797.48955000000035</v>
      </c>
      <c r="AI29" s="161">
        <f t="shared" ca="1" si="24"/>
        <v>0</v>
      </c>
      <c r="AJ29" s="161"/>
      <c r="AK29" s="161"/>
      <c r="AL29" s="164">
        <f t="shared" ca="1" si="25"/>
        <v>797.48955000000035</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sheetData>
  <sheetProtection algorithmName="SHA-512" hashValue="z07/ORzDOVApGEi5MsH2iaKf5F6FIQjLELx0qW/fpPOPL0nP3NjFQjX2dGGaTmmE8EOte0BZqi05pjwflYw97Q==" saltValue="MWgvUUhz/KcIltjeWsSmsA==" spinCount="100000" sheet="1" objects="1" scenarios="1"/>
  <protectedRanges>
    <protectedRange sqref="K2:U14" name="Loonaangiftebericht"/>
    <protectedRange sqref="B1:B9" name="Persoon en IKV"/>
  </protectedRanges>
  <mergeCells count="3">
    <mergeCell ref="A11:B11"/>
    <mergeCell ref="A12:B25"/>
    <mergeCell ref="D17:E17"/>
  </mergeCells>
  <dataValidations count="8">
    <dataValidation type="list" allowBlank="1" showInputMessage="1" showErrorMessage="1" sqref="B2" xr:uid="{5841D877-308E-4105-BFA1-B907D1BE0C3F}">
      <formula1>"Maandelijks,Vierwekelijks"</formula1>
    </dataValidation>
    <dataValidation type="list" allowBlank="1" showInputMessage="1" showErrorMessage="1" sqref="B8:C8" xr:uid="{92DDDF3E-D3C3-4740-915D-3F11947D38FD}">
      <formula1>"WAAR,NIET WAAR"</formula1>
    </dataValidation>
    <dataValidation type="list" allowBlank="1" showInputMessage="1" showErrorMessage="1" sqref="B1:C1" xr:uid="{43A62A4D-70EE-46E5-A4BE-FEB09A444391}">
      <formula1>"2027,2028"</formula1>
    </dataValidation>
    <dataValidation type="list" allowBlank="1" showInputMessage="1" showErrorMessage="1" sqref="C2" xr:uid="{42CAAF54-6CF1-4F95-A3AC-AA8123E0D9E7}">
      <formula1>"maandelijks,vierwekelijks"</formula1>
    </dataValidation>
    <dataValidation type="list" allowBlank="1" showInputMessage="1" showErrorMessage="1" sqref="L2:L14" xr:uid="{551DDE05-A6C2-47CB-A691-7B0FE2F72C44}">
      <formula1>Code_Soort_IKV</formula1>
    </dataValidation>
    <dataValidation type="list" allowBlank="1" showInputMessage="1" showErrorMessage="1" sqref="M2:M14" xr:uid="{13588408-DFCF-446F-BA90-6DFBADEEB94A}">
      <formula1>Code_Aard_Arbeidsverhouding</formula1>
    </dataValidation>
    <dataValidation type="list" allowBlank="1" showInputMessage="1" showErrorMessage="1" sqref="K2:K14" xr:uid="{73A94CF6-AC4D-4CB6-B125-AA6F5669C7E2}">
      <formula1>Code_Reden_Einde_Arbeidsverhouding</formula1>
    </dataValidation>
    <dataValidation type="whole" allowBlank="1" showInputMessage="1" showErrorMessage="1" promptTitle="Handboek Loonheffingen: " prompt="Rekenkundig afgeronde hele uren" sqref="N2:N14" xr:uid="{9B05D05B-FECA-45C6-8A44-F7D19BC72E78}">
      <formula1>-999</formula1>
      <formula2>999</formula2>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AEB7BA66-CF3B-4422-86A9-BEB94ECCAD68}">
          <x14:formula1>
            <xm:f>rekenwaarden!$M$8:$M$12</xm:f>
          </x14:formula1>
          <xm:sqref>B6:C6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4CEEF-F486-4205-A40A-8EC3D54AC8D8}">
  <sheetPr>
    <tabColor theme="4" tint="0.39997558519241921"/>
  </sheetPr>
  <dimension ref="A1:AL30"/>
  <sheetViews>
    <sheetView showGridLines="0" zoomScale="90" zoomScaleNormal="90" workbookViewId="0">
      <pane xSplit="2" ySplit="30" topLeftCell="C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179687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8.1796875" customWidth="1"/>
    <col min="22" max="33" width="15.81640625" customWidth="1"/>
    <col min="34" max="34" width="19.453125" bestFit="1" customWidth="1"/>
    <col min="35" max="35" width="20.453125" customWidth="1"/>
    <col min="36" max="36" width="12.81640625" bestFit="1"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210" t="s">
        <v>18</v>
      </c>
      <c r="W1" s="211" t="s">
        <v>71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IF(OR(Datum_Einde_IKV="",Tabel1353615161819[[#This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IF(Tabel1353615161819[[#This Row],[Inkomsten-periode]]="","",DATEDIF(Geboortedatum,Tabel1353615161819[[#This Row],[DatEindTv]],"Y"))</f>
        <v>33</v>
      </c>
      <c r="I2" s="146">
        <f>IF(Tabel1353615161819[[#This Row],[Inkomsten-periode]]="","",IF(Datum_Aanvang_IKV="","",Datum_Aanvang_IKV))</f>
        <v>45658</v>
      </c>
      <c r="J2" s="146" t="str">
        <f>IF(Tabel1353615161819[[#This Row],[Inkomsten-periode]]="","",IF(Datum_Einde_IKV="","",IF(Datum_Einde_IKV&lt;=Tabel1353615161819[[#This Row],[DatEindTv]],Datum_Einde_IKV,"")))</f>
        <v/>
      </c>
      <c r="K2" s="138"/>
      <c r="L2" s="138">
        <v>15</v>
      </c>
      <c r="M2" s="138">
        <v>1</v>
      </c>
      <c r="N2" s="139">
        <v>173</v>
      </c>
      <c r="O2" s="140">
        <f>4320+5*40</f>
        <v>4520</v>
      </c>
      <c r="P2" s="140">
        <v>320</v>
      </c>
      <c r="Q2" s="140">
        <v>320</v>
      </c>
      <c r="R2" s="140">
        <v>0</v>
      </c>
      <c r="S2" s="140">
        <v>0</v>
      </c>
      <c r="T2" s="140">
        <f>4320+5*40</f>
        <v>4520</v>
      </c>
      <c r="U2" s="140"/>
      <c r="V2" s="184">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Row],[OpnAvwb]],0))))</f>
        <v>4520</v>
      </c>
      <c r="W2" s="185">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Row],[AantVerlU]],0))))</f>
        <v>173</v>
      </c>
      <c r="X2" s="184"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f>
        <v/>
      </c>
      <c r="Y2" s="185"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f>
        <v/>
      </c>
    </row>
    <row r="3" spans="1:38" s="113" customFormat="1" ht="16.399999999999999" customHeight="1" x14ac:dyDescent="0.25">
      <c r="A3" s="122" t="s">
        <v>21</v>
      </c>
      <c r="B3" s="133">
        <v>34162</v>
      </c>
      <c r="C3" s="202"/>
      <c r="D3" s="145">
        <f>IF(OR(Datum_Einde_IKV&gt;G2,Datum_Einde_IKV=""),IF(AND($B$2="Maandelijks", COUNTIF($D$1:D2, 12)=1), "",IF(OR(AND($B$2="Maandelijks", D2=12),AND($B$2="Vierwekelijks", D2=13), D2 = "Periode"), 1, D2+1)),"")</f>
        <v>2</v>
      </c>
      <c r="E3" s="145" t="str">
        <f>IF(OR(Datum_Einde_IKV="",Tabel1353615161819[[#This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IF(Tabel1353615161819[[#This Row],[Inkomsten-periode]]="","",DATEDIF(Geboortedatum,Tabel1353615161819[[#This Row],[DatEindTv]],"Y"))</f>
        <v>33</v>
      </c>
      <c r="I3" s="146">
        <f>IF(Tabel1353615161819[[#This Row],[Inkomsten-periode]]="","",IF(Datum_Aanvang_IKV="","",Datum_Aanvang_IKV))</f>
        <v>45658</v>
      </c>
      <c r="J3" s="146" t="str">
        <f>IF(Tabel1353615161819[[#This Row],[Inkomsten-periode]]="","",IF(Datum_Einde_IKV="","",IF(Datum_Einde_IKV&lt;=Tabel1353615161819[[#This Row],[DatEindTv]],Datum_Einde_IKV,"")))</f>
        <v/>
      </c>
      <c r="K3" s="141"/>
      <c r="L3" s="141">
        <v>15</v>
      </c>
      <c r="M3" s="141">
        <v>1</v>
      </c>
      <c r="N3" s="142">
        <v>173</v>
      </c>
      <c r="O3" s="143">
        <f>4320+4*40</f>
        <v>4480</v>
      </c>
      <c r="P3" s="143">
        <v>320</v>
      </c>
      <c r="Q3" s="143">
        <v>320</v>
      </c>
      <c r="R3" s="143">
        <v>0</v>
      </c>
      <c r="S3" s="143">
        <v>0</v>
      </c>
      <c r="T3" s="143">
        <f>4320+4*40</f>
        <v>4480</v>
      </c>
      <c r="U3" s="143"/>
      <c r="V3" s="184">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Row],[OpnAvwb]],0))))</f>
        <v>4480</v>
      </c>
      <c r="W3" s="186">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Row],[AantVerlU]],0))))</f>
        <v>173</v>
      </c>
      <c r="X3" s="184"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f>
        <v/>
      </c>
      <c r="Y3" s="186"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f>
        <v/>
      </c>
    </row>
    <row r="4" spans="1:38" s="113" customFormat="1" ht="16.399999999999999" customHeight="1" x14ac:dyDescent="0.25">
      <c r="A4" s="122" t="s">
        <v>22</v>
      </c>
      <c r="B4" s="134">
        <v>45658</v>
      </c>
      <c r="C4" s="202"/>
      <c r="D4" s="144">
        <f>IF(OR(Datum_Einde_IKV&gt;G3,Datum_Einde_IKV=""),IF(AND($B$2="Maandelijks", COUNTIF($D$1:D3, 12)=1), "",IF(OR(AND($B$2="Maandelijks", D3=12),AND($B$2="Vierwekelijks", D3=13), D3 = "Periode"), 1, D3+1)),"")</f>
        <v>3</v>
      </c>
      <c r="E4" s="145" t="str">
        <f>IF(OR(Datum_Einde_IKV="",Tabel1353615161819[[#This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IF(Tabel1353615161819[[#This Row],[Inkomsten-periode]]="","",DATEDIF(Geboortedatum,Tabel1353615161819[[#This Row],[DatEindTv]],"Y"))</f>
        <v>33</v>
      </c>
      <c r="I4" s="146">
        <f>IF(Tabel1353615161819[[#This Row],[Inkomsten-periode]]="","",IF(Datum_Aanvang_IKV="","",Datum_Aanvang_IKV))</f>
        <v>45658</v>
      </c>
      <c r="J4" s="146" t="str">
        <f>IF(Tabel1353615161819[[#This Row],[Inkomsten-periode]]="","",IF(Datum_Einde_IKV="","",IF(Datum_Einde_IKV&lt;=Tabel1353615161819[[#This Row],[DatEindTv]],Datum_Einde_IKV,"")))</f>
        <v/>
      </c>
      <c r="K4" s="138"/>
      <c r="L4" s="138">
        <v>15</v>
      </c>
      <c r="M4" s="138">
        <v>1</v>
      </c>
      <c r="N4" s="139">
        <v>173</v>
      </c>
      <c r="O4" s="140">
        <f>4320+4*40</f>
        <v>4480</v>
      </c>
      <c r="P4" s="140">
        <v>320</v>
      </c>
      <c r="Q4" s="140">
        <v>320</v>
      </c>
      <c r="R4" s="140">
        <v>0</v>
      </c>
      <c r="S4" s="140">
        <v>0</v>
      </c>
      <c r="T4" s="140">
        <f>4320+4*40</f>
        <v>4480</v>
      </c>
      <c r="U4" s="140"/>
      <c r="V4" s="184">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Row],[OpnAvwb]],0))))</f>
        <v>4480</v>
      </c>
      <c r="W4" s="186">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Row],[AantVerlU]],0))))</f>
        <v>173</v>
      </c>
      <c r="X4" s="184"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f>
        <v/>
      </c>
      <c r="Y4" s="186"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f>
        <v/>
      </c>
    </row>
    <row r="5" spans="1:38" s="113" customFormat="1" ht="16.399999999999999" customHeight="1" x14ac:dyDescent="0.25">
      <c r="A5" s="122" t="s">
        <v>23</v>
      </c>
      <c r="B5" s="133"/>
      <c r="C5" s="202"/>
      <c r="D5" s="145">
        <f>IF(OR(Datum_Einde_IKV&gt;G4,Datum_Einde_IKV=""),IF(AND($B$2="Maandelijks", COUNTIF($D$1:D4, 12)=1), "",IF(OR(AND($B$2="Maandelijks", D4=12),AND($B$2="Vierwekelijks", D4=13), D4 = "Periode"), 1, D4+1)),"")</f>
        <v>4</v>
      </c>
      <c r="E5" s="145" t="str">
        <f>IF(OR(Datum_Einde_IKV="",Tabel1353615161819[[#This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IF(Tabel1353615161819[[#This Row],[Inkomsten-periode]]="","",DATEDIF(Geboortedatum,Tabel1353615161819[[#This Row],[DatEindTv]],"Y"))</f>
        <v>33</v>
      </c>
      <c r="I5" s="146">
        <f>IF(Tabel1353615161819[[#This Row],[Inkomsten-periode]]="","",IF(Datum_Aanvang_IKV="","",Datum_Aanvang_IKV))</f>
        <v>45658</v>
      </c>
      <c r="J5" s="146" t="str">
        <f>IF(Tabel1353615161819[[#This Row],[Inkomsten-periode]]="","",IF(Datum_Einde_IKV="","",IF(Datum_Einde_IKV&lt;=Tabel1353615161819[[#This Row],[DatEindTv]],Datum_Einde_IKV,"")))</f>
        <v/>
      </c>
      <c r="K5" s="141"/>
      <c r="L5" s="141">
        <v>15</v>
      </c>
      <c r="M5" s="141">
        <v>1</v>
      </c>
      <c r="N5" s="142">
        <v>173</v>
      </c>
      <c r="O5" s="143">
        <v>4320</v>
      </c>
      <c r="P5" s="143">
        <v>320</v>
      </c>
      <c r="Q5" s="143">
        <v>320</v>
      </c>
      <c r="R5" s="143">
        <v>0</v>
      </c>
      <c r="S5" s="143">
        <v>0</v>
      </c>
      <c r="T5" s="143">
        <v>4320</v>
      </c>
      <c r="U5" s="143"/>
      <c r="V5" s="184">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Row],[OpnAvwb]],0))))</f>
        <v>4320</v>
      </c>
      <c r="W5" s="186">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Row],[AantVerlU]],0))))</f>
        <v>173</v>
      </c>
      <c r="X5" s="184"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f>
        <v/>
      </c>
      <c r="Y5" s="186"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f>
        <v/>
      </c>
    </row>
    <row r="6" spans="1:38" s="113" customFormat="1" ht="16.399999999999999" customHeight="1" x14ac:dyDescent="0.25">
      <c r="A6" s="122" t="s">
        <v>24</v>
      </c>
      <c r="B6" s="135" t="s">
        <v>180</v>
      </c>
      <c r="C6" s="203"/>
      <c r="D6" s="144">
        <f>IF(OR(Datum_Einde_IKV&gt;G5,Datum_Einde_IKV=""),IF(AND($B$2="Maandelijks", COUNTIF($D$1:D5, 12)=1), "",IF(OR(AND($B$2="Maandelijks", D5=12),AND($B$2="Vierwekelijks", D5=13), D5 = "Periode"), 1, D5+1)),"")</f>
        <v>5</v>
      </c>
      <c r="E6" s="145" t="str">
        <f>IF(OR(Datum_Einde_IKV="",Tabel1353615161819[[#This Row],[DatAanvTv]]&lt;Datum_Einde_IKV),IF(E5="december","",IF(Verloningsperiodiciteit="maandelijks",rekenwaarden!F7,_xlfn.CONCAT("Periode ",rekenwaarden!E7))),"")</f>
        <v>mei</v>
      </c>
      <c r="F6" s="146">
        <f t="shared" si="0"/>
        <v>46508</v>
      </c>
      <c r="G6" s="146">
        <f>IF(F6="", "", IF(Verloningsperiodiciteit="Vierwekelijks", _xlfn.XLOOKUP(F6,rekenwaarden!$C$3:$C$54,rekenwaarden!$D$3:$D$54,"niet gevonden",-1), _xlfn.XLOOKUP(F6,rekenwaarden!$I$3:$I$54,rekenwaarden!$J$3:$J$54,"niet gevonden",-1)))</f>
        <v>46538</v>
      </c>
      <c r="H6" s="147">
        <f>IF(Tabel1353615161819[[#This Row],[Inkomsten-periode]]="","",DATEDIF(Geboortedatum,Tabel1353615161819[[#This Row],[DatEindTv]],"Y"))</f>
        <v>33</v>
      </c>
      <c r="I6" s="146">
        <f>IF(Tabel1353615161819[[#This Row],[Inkomsten-periode]]="","",IF(Datum_Aanvang_IKV="","",Datum_Aanvang_IKV))</f>
        <v>45658</v>
      </c>
      <c r="J6" s="146" t="str">
        <f>IF(Tabel1353615161819[[#This Row],[Inkomsten-periode]]="","",IF(Datum_Einde_IKV="","",IF(Datum_Einde_IKV&lt;=Tabel1353615161819[[#This Row],[DatEindTv]],Datum_Einde_IKV,"")))</f>
        <v/>
      </c>
      <c r="K6" s="138"/>
      <c r="L6" s="138">
        <v>15</v>
      </c>
      <c r="M6" s="138">
        <v>1</v>
      </c>
      <c r="N6" s="139">
        <v>173</v>
      </c>
      <c r="O6" s="140">
        <v>4320</v>
      </c>
      <c r="P6" s="140">
        <v>320</v>
      </c>
      <c r="Q6" s="140">
        <v>320</v>
      </c>
      <c r="R6" s="140">
        <v>0</v>
      </c>
      <c r="S6" s="140">
        <v>0</v>
      </c>
      <c r="T6" s="140">
        <v>4320</v>
      </c>
      <c r="U6" s="140"/>
      <c r="V6" s="184">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Row],[OpnAvwb]],0))))</f>
        <v>4320</v>
      </c>
      <c r="W6" s="186">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Row],[AantVerlU]],0))))</f>
        <v>173</v>
      </c>
      <c r="X6" s="184"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f>
        <v/>
      </c>
      <c r="Y6" s="186"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f>
        <v/>
      </c>
    </row>
    <row r="7" spans="1:38" s="113" customFormat="1" ht="16.399999999999999" customHeight="1" x14ac:dyDescent="0.25">
      <c r="A7" s="122" t="s">
        <v>26</v>
      </c>
      <c r="B7" s="136">
        <f>VLOOKUP(B6,rekenwaarden!M8:T12,8)</f>
        <v>40</v>
      </c>
      <c r="C7" s="204"/>
      <c r="D7" s="145">
        <f>IF(OR(Datum_Einde_IKV&gt;G6,Datum_Einde_IKV=""),IF(AND($B$2="Maandelijks", COUNTIF($D$1:D6, 12)=1), "",IF(OR(AND($B$2="Maandelijks", D6=12),AND($B$2="Vierwekelijks", D6=13), D6 = "Periode"), 1, D6+1)),"")</f>
        <v>6</v>
      </c>
      <c r="E7" s="145" t="str">
        <f>IF(OR(Datum_Einde_IKV="",Tabel1353615161819[[#This Row],[DatAanvTv]]&lt;Datum_Einde_IKV),IF(E6="december","",IF(Verloningsperiodiciteit="maandelijks",rekenwaarden!F8,_xlfn.CONCAT("Periode ",rekenwaarden!E8))),"")</f>
        <v>juni</v>
      </c>
      <c r="F7" s="146">
        <f t="shared" si="0"/>
        <v>46539</v>
      </c>
      <c r="G7" s="146">
        <f>IF(F7="", "", IF(Verloningsperiodiciteit="Vierwekelijks", _xlfn.XLOOKUP(F7,rekenwaarden!$C$3:$C$54,rekenwaarden!$D$3:$D$54,"niet gevonden",-1), _xlfn.XLOOKUP(F7,rekenwaarden!$I$3:$I$54,rekenwaarden!$J$3:$J$54,"niet gevonden",-1)))</f>
        <v>46568</v>
      </c>
      <c r="H7" s="147">
        <f>IF(Tabel1353615161819[[#This Row],[Inkomsten-periode]]="","",DATEDIF(Geboortedatum,Tabel1353615161819[[#This Row],[DatEindTv]],"Y"))</f>
        <v>33</v>
      </c>
      <c r="I7" s="146">
        <f>IF(Tabel1353615161819[[#This Row],[Inkomsten-periode]]="","",IF(Datum_Aanvang_IKV="","",Datum_Aanvang_IKV))</f>
        <v>45658</v>
      </c>
      <c r="J7" s="146" t="str">
        <f>IF(Tabel1353615161819[[#This Row],[Inkomsten-periode]]="","",IF(Datum_Einde_IKV="","",IF(Datum_Einde_IKV&lt;=Tabel1353615161819[[#This Row],[DatEindTv]],Datum_Einde_IKV,"")))</f>
        <v/>
      </c>
      <c r="K7" s="141"/>
      <c r="L7" s="141">
        <v>15</v>
      </c>
      <c r="M7" s="141">
        <v>1</v>
      </c>
      <c r="N7" s="142">
        <v>173</v>
      </c>
      <c r="O7" s="143">
        <v>4320</v>
      </c>
      <c r="P7" s="143">
        <v>320</v>
      </c>
      <c r="Q7" s="143">
        <v>320</v>
      </c>
      <c r="R7" s="143">
        <v>0</v>
      </c>
      <c r="S7" s="143">
        <v>0</v>
      </c>
      <c r="T7" s="143">
        <v>4320</v>
      </c>
      <c r="U7" s="143"/>
      <c r="V7" s="184">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Row],[OpnAvwb]],0))))</f>
        <v>4320</v>
      </c>
      <c r="W7" s="186">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Row],[AantVerlU]],0))))</f>
        <v>173</v>
      </c>
      <c r="X7" s="184"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f>
        <v/>
      </c>
      <c r="Y7" s="186"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f>
        <v/>
      </c>
    </row>
    <row r="8" spans="1:38" s="113" customFormat="1" ht="16.399999999999999" customHeight="1" x14ac:dyDescent="0.25">
      <c r="A8" s="122" t="s">
        <v>27</v>
      </c>
      <c r="B8" s="137" t="b">
        <v>1</v>
      </c>
      <c r="C8" s="202"/>
      <c r="D8" s="144">
        <f>IF(OR(Datum_Einde_IKV&gt;G7,Datum_Einde_IKV=""),IF(AND($B$2="Maandelijks", COUNTIF($D$1:D7, 12)=1), "",IF(OR(AND($B$2="Maandelijks", D7=12),AND($B$2="Vierwekelijks", D7=13), D7 = "Periode"), 1, D7+1)),"")</f>
        <v>7</v>
      </c>
      <c r="E8" s="145" t="str">
        <f>IF(OR(Datum_Einde_IKV="",Tabel1353615161819[[#This Row],[DatAanvTv]]&lt;Datum_Einde_IKV),IF(E7="december","",IF(Verloningsperiodiciteit="maandelijks",rekenwaarden!F9,_xlfn.CONCAT("Periode ",rekenwaarden!E9))),"")</f>
        <v>juli</v>
      </c>
      <c r="F8" s="146">
        <f t="shared" si="0"/>
        <v>46569</v>
      </c>
      <c r="G8" s="146">
        <f>IF(F8="", "", IF(Verloningsperiodiciteit="Vierwekelijks", _xlfn.XLOOKUP(F8,rekenwaarden!$C$3:$C$54,rekenwaarden!$D$3:$D$54,"niet gevonden",-1), _xlfn.XLOOKUP(F8,rekenwaarden!$I$3:$I$54,rekenwaarden!$J$3:$J$54,"niet gevonden",-1)))</f>
        <v>46599</v>
      </c>
      <c r="H8" s="147">
        <f>IF(Tabel1353615161819[[#This Row],[Inkomsten-periode]]="","",DATEDIF(Geboortedatum,Tabel1353615161819[[#This Row],[DatEindTv]],"Y"))</f>
        <v>34</v>
      </c>
      <c r="I8" s="146">
        <f>IF(Tabel1353615161819[[#This Row],[Inkomsten-periode]]="","",IF(Datum_Aanvang_IKV="","",Datum_Aanvang_IKV))</f>
        <v>45658</v>
      </c>
      <c r="J8" s="146" t="str">
        <f>IF(Tabel1353615161819[[#This Row],[Inkomsten-periode]]="","",IF(Datum_Einde_IKV="","",IF(Datum_Einde_IKV&lt;=Tabel1353615161819[[#This Row],[DatEindTv]],Datum_Einde_IKV,"")))</f>
        <v/>
      </c>
      <c r="K8" s="138"/>
      <c r="L8" s="138">
        <v>15</v>
      </c>
      <c r="M8" s="138">
        <v>1</v>
      </c>
      <c r="N8" s="139">
        <v>173</v>
      </c>
      <c r="O8" s="140">
        <v>4320</v>
      </c>
      <c r="P8" s="140">
        <v>320</v>
      </c>
      <c r="Q8" s="140">
        <v>320</v>
      </c>
      <c r="R8" s="140">
        <v>0</v>
      </c>
      <c r="S8" s="140">
        <v>0</v>
      </c>
      <c r="T8" s="140">
        <v>4320</v>
      </c>
      <c r="U8" s="140"/>
      <c r="V8" s="184">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Row],[OpnAvwb]],0))))</f>
        <v>4320</v>
      </c>
      <c r="W8" s="186">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Row],[AantVerlU]],0))))</f>
        <v>173</v>
      </c>
      <c r="X8" s="184"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f>
        <v/>
      </c>
      <c r="Y8" s="186"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f>
        <v/>
      </c>
    </row>
    <row r="9" spans="1:38" s="113" customFormat="1" ht="16.399999999999999" customHeight="1" x14ac:dyDescent="0.25">
      <c r="A9" s="122"/>
      <c r="B9" s="131"/>
      <c r="C9" s="200"/>
      <c r="D9" s="145">
        <f>IF(OR(Datum_Einde_IKV&gt;G8,Datum_Einde_IKV=""),IF(AND($B$2="Maandelijks", COUNTIF($D$1:D8, 12)=1), "",IF(OR(AND($B$2="Maandelijks", D8=12),AND($B$2="Vierwekelijks", D8=13), D8 = "Periode"), 1, D8+1)),"")</f>
        <v>8</v>
      </c>
      <c r="E9" s="145" t="str">
        <f>IF(OR(Datum_Einde_IKV="",Tabel1353615161819[[#This Row],[DatAanvTv]]&lt;Datum_Einde_IKV),IF(E8="december","",IF(Verloningsperiodiciteit="maandelijks",rekenwaarden!F10,_xlfn.CONCAT("Periode ",rekenwaarden!E10))),"")</f>
        <v>augustus</v>
      </c>
      <c r="F9" s="146">
        <f t="shared" si="0"/>
        <v>46600</v>
      </c>
      <c r="G9" s="146">
        <f>IF(F9="", "", IF(Verloningsperiodiciteit="Vierwekelijks", _xlfn.XLOOKUP(F9,rekenwaarden!$C$3:$C$54,rekenwaarden!$D$3:$D$54,"niet gevonden",-1), _xlfn.XLOOKUP(F9,rekenwaarden!$I$3:$I$54,rekenwaarden!$J$3:$J$54,"niet gevonden",-1)))</f>
        <v>46630</v>
      </c>
      <c r="H9" s="147">
        <f>IF(Tabel1353615161819[[#This Row],[Inkomsten-periode]]="","",DATEDIF(Geboortedatum,Tabel1353615161819[[#This Row],[DatEindTv]],"Y"))</f>
        <v>34</v>
      </c>
      <c r="I9" s="146">
        <f>IF(Tabel1353615161819[[#This Row],[Inkomsten-periode]]="","",IF(Datum_Aanvang_IKV="","",Datum_Aanvang_IKV))</f>
        <v>45658</v>
      </c>
      <c r="J9" s="146" t="str">
        <f>IF(Tabel1353615161819[[#This Row],[Inkomsten-periode]]="","",IF(Datum_Einde_IKV="","",IF(Datum_Einde_IKV&lt;=Tabel1353615161819[[#This Row],[DatEindTv]],Datum_Einde_IKV,"")))</f>
        <v/>
      </c>
      <c r="K9" s="141"/>
      <c r="L9" s="141">
        <v>15</v>
      </c>
      <c r="M9" s="141">
        <v>1</v>
      </c>
      <c r="N9" s="142">
        <v>173</v>
      </c>
      <c r="O9" s="143">
        <v>4320</v>
      </c>
      <c r="P9" s="143">
        <v>320</v>
      </c>
      <c r="Q9" s="143">
        <v>320</v>
      </c>
      <c r="R9" s="143">
        <v>0</v>
      </c>
      <c r="S9" s="143">
        <v>0</v>
      </c>
      <c r="T9" s="143">
        <v>4320</v>
      </c>
      <c r="U9" s="143"/>
      <c r="V9" s="184">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Row],[OpnAvwb]],0))))</f>
        <v>4320</v>
      </c>
      <c r="W9" s="186">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Row],[AantVerlU]],0))))</f>
        <v>173</v>
      </c>
      <c r="X9" s="184"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f>
        <v/>
      </c>
      <c r="Y9" s="186"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f>
        <v/>
      </c>
    </row>
    <row r="10" spans="1:38" s="113" customFormat="1" ht="16.399999999999999" customHeight="1" thickBot="1" x14ac:dyDescent="0.3">
      <c r="A10" s="200"/>
      <c r="B10" s="200"/>
      <c r="C10" s="200"/>
      <c r="D10" s="144">
        <f>IF(OR(Datum_Einde_IKV&gt;G9,Datum_Einde_IKV=""),IF(AND($B$2="Maandelijks", COUNTIF($D$1:D9, 12)=1), "",IF(OR(AND($B$2="Maandelijks", D9=12),AND($B$2="Vierwekelijks", D9=13), D9 = "Periode"), 1, D9+1)),"")</f>
        <v>9</v>
      </c>
      <c r="E10" s="145" t="str">
        <f>IF(OR(Datum_Einde_IKV="",Tabel1353615161819[[#This Row],[DatAanvTv]]&lt;Datum_Einde_IKV),IF(E9="december","",IF(Verloningsperiodiciteit="maandelijks",rekenwaarden!F11,_xlfn.CONCAT("Periode ",rekenwaarden!E11))),"")</f>
        <v>september</v>
      </c>
      <c r="F10" s="146">
        <f t="shared" si="0"/>
        <v>46631</v>
      </c>
      <c r="G10" s="146">
        <f>IF(F10="", "", IF(Verloningsperiodiciteit="Vierwekelijks", _xlfn.XLOOKUP(F10,rekenwaarden!$C$3:$C$54,rekenwaarden!$D$3:$D$54,"niet gevonden",-1), _xlfn.XLOOKUP(F10,rekenwaarden!$I$3:$I$54,rekenwaarden!$J$3:$J$54,"niet gevonden",-1)))</f>
        <v>46660</v>
      </c>
      <c r="H10" s="147">
        <f>IF(Tabel1353615161819[[#This Row],[Inkomsten-periode]]="","",DATEDIF(Geboortedatum,Tabel1353615161819[[#This Row],[DatEindTv]],"Y"))</f>
        <v>34</v>
      </c>
      <c r="I10" s="146">
        <f>IF(Tabel1353615161819[[#This Row],[Inkomsten-periode]]="","",IF(Datum_Aanvang_IKV="","",Datum_Aanvang_IKV))</f>
        <v>45658</v>
      </c>
      <c r="J10" s="146" t="str">
        <f>IF(Tabel1353615161819[[#This Row],[Inkomsten-periode]]="","",IF(Datum_Einde_IKV="","",IF(Datum_Einde_IKV&lt;=Tabel1353615161819[[#This Row],[DatEindTv]],Datum_Einde_IKV,"")))</f>
        <v/>
      </c>
      <c r="K10" s="138"/>
      <c r="L10" s="138">
        <v>15</v>
      </c>
      <c r="M10" s="138">
        <v>1</v>
      </c>
      <c r="N10" s="139">
        <v>173</v>
      </c>
      <c r="O10" s="140">
        <v>4320</v>
      </c>
      <c r="P10" s="140">
        <v>320</v>
      </c>
      <c r="Q10" s="140">
        <v>320</v>
      </c>
      <c r="R10" s="140">
        <v>0</v>
      </c>
      <c r="S10" s="140">
        <v>0</v>
      </c>
      <c r="T10" s="140">
        <v>4320</v>
      </c>
      <c r="U10" s="140"/>
      <c r="V10" s="184">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Row],[OpnAvwb]],0))))</f>
        <v>4320</v>
      </c>
      <c r="W10" s="186">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Row],[AantVerlU]],0))))</f>
        <v>173</v>
      </c>
      <c r="X10" s="184"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f>
        <v/>
      </c>
      <c r="Y10" s="186"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f>
        <v/>
      </c>
    </row>
    <row r="11" spans="1:38" s="113" customFormat="1" ht="16.399999999999999" customHeight="1" x14ac:dyDescent="0.25">
      <c r="A11" s="245" t="s">
        <v>65</v>
      </c>
      <c r="B11" s="246"/>
      <c r="C11" s="200"/>
      <c r="D11" s="145">
        <f>IF(OR(Datum_Einde_IKV&gt;G10,Datum_Einde_IKV=""),IF(AND($B$2="Maandelijks", COUNTIF($D$1:D10, 12)=1), "",IF(OR(AND($B$2="Maandelijks", D10=12),AND($B$2="Vierwekelijks", D10=13), D10 = "Periode"), 1, D10+1)),"")</f>
        <v>10</v>
      </c>
      <c r="E11" s="145" t="str">
        <f>IF(OR(Datum_Einde_IKV="",Tabel1353615161819[[#This Row],[DatAanvTv]]&lt;Datum_Einde_IKV),IF(E10="december","",IF(Verloningsperiodiciteit="maandelijks",rekenwaarden!F12,_xlfn.CONCAT("Periode ",rekenwaarden!E12))),"")</f>
        <v>oktober</v>
      </c>
      <c r="F11" s="146">
        <f t="shared" si="0"/>
        <v>46661</v>
      </c>
      <c r="G11" s="146">
        <f>IF(F11="", "", IF(Verloningsperiodiciteit="Vierwekelijks", _xlfn.XLOOKUP(F11,rekenwaarden!$C$3:$C$54,rekenwaarden!$D$3:$D$54,"niet gevonden",-1), _xlfn.XLOOKUP(F11,rekenwaarden!$I$3:$I$54,rekenwaarden!$J$3:$J$54,"niet gevonden",-1)))</f>
        <v>46691</v>
      </c>
      <c r="H11" s="147">
        <f>IF(Tabel1353615161819[[#This Row],[Inkomsten-periode]]="","",DATEDIF(Geboortedatum,Tabel1353615161819[[#This Row],[DatEindTv]],"Y"))</f>
        <v>34</v>
      </c>
      <c r="I11" s="146">
        <f>IF(Tabel1353615161819[[#This Row],[Inkomsten-periode]]="","",IF(Datum_Aanvang_IKV="","",Datum_Aanvang_IKV))</f>
        <v>45658</v>
      </c>
      <c r="J11" s="146" t="str">
        <f>IF(Tabel1353615161819[[#This Row],[Inkomsten-periode]]="","",IF(Datum_Einde_IKV="","",IF(Datum_Einde_IKV&lt;=Tabel1353615161819[[#This Row],[DatEindTv]],Datum_Einde_IKV,"")))</f>
        <v/>
      </c>
      <c r="K11" s="141"/>
      <c r="L11" s="141">
        <v>15</v>
      </c>
      <c r="M11" s="141">
        <v>1</v>
      </c>
      <c r="N11" s="142">
        <v>173</v>
      </c>
      <c r="O11" s="143">
        <v>4320</v>
      </c>
      <c r="P11" s="143">
        <v>320</v>
      </c>
      <c r="Q11" s="143">
        <v>320</v>
      </c>
      <c r="R11" s="143">
        <v>0</v>
      </c>
      <c r="S11" s="143">
        <v>0</v>
      </c>
      <c r="T11" s="143">
        <v>4320</v>
      </c>
      <c r="U11" s="143"/>
      <c r="V11" s="184">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Row],[OpnAvwb]],0))))</f>
        <v>4320</v>
      </c>
      <c r="W11" s="186">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Row],[AantVerlU]],0))))</f>
        <v>173</v>
      </c>
      <c r="X11" s="184"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f>
        <v/>
      </c>
      <c r="Y11" s="186"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f>
        <v/>
      </c>
    </row>
    <row r="12" spans="1:38" s="113" customFormat="1" ht="16.399999999999999" customHeight="1" x14ac:dyDescent="0.25">
      <c r="A12" s="249" t="s">
        <v>184</v>
      </c>
      <c r="B12" s="250"/>
      <c r="C12" s="200"/>
      <c r="D12" s="144">
        <f>IF(OR(Datum_Einde_IKV&gt;G11,Datum_Einde_IKV=""),IF(AND($B$2="Maandelijks", COUNTIF($D$1:D11, 12)=1), "",IF(OR(AND($B$2="Maandelijks", D11=12),AND($B$2="Vierwekelijks", D11=13), D11 = "Periode"), 1, D11+1)),"")</f>
        <v>11</v>
      </c>
      <c r="E12" s="145" t="str">
        <f>IF(OR(Datum_Einde_IKV="",Tabel1353615161819[[#This Row],[DatAanvTv]]&lt;Datum_Einde_IKV),IF(E11="december","",IF(Verloningsperiodiciteit="maandelijks",rekenwaarden!F13,_xlfn.CONCAT("Periode ",rekenwaarden!E13))),"")</f>
        <v>november</v>
      </c>
      <c r="F12" s="146">
        <f t="shared" si="0"/>
        <v>46692</v>
      </c>
      <c r="G12" s="146">
        <f>IF(F12="", "", IF(Verloningsperiodiciteit="Vierwekelijks", _xlfn.XLOOKUP(F12,rekenwaarden!$C$3:$C$54,rekenwaarden!$D$3:$D$54,"niet gevonden",-1), _xlfn.XLOOKUP(F12,rekenwaarden!$I$3:$I$54,rekenwaarden!$J$3:$J$54,"niet gevonden",-1)))</f>
        <v>46721</v>
      </c>
      <c r="H12" s="147">
        <f>IF(Tabel1353615161819[[#This Row],[Inkomsten-periode]]="","",DATEDIF(Geboortedatum,Tabel1353615161819[[#This Row],[DatEindTv]],"Y"))</f>
        <v>34</v>
      </c>
      <c r="I12" s="146">
        <f>IF(Tabel1353615161819[[#This Row],[Inkomsten-periode]]="","",IF(Datum_Aanvang_IKV="","",Datum_Aanvang_IKV))</f>
        <v>45658</v>
      </c>
      <c r="J12" s="146" t="str">
        <f>IF(Tabel1353615161819[[#This Row],[Inkomsten-periode]]="","",IF(Datum_Einde_IKV="","",IF(Datum_Einde_IKV&lt;=Tabel1353615161819[[#This Row],[DatEindTv]],Datum_Einde_IKV,"")))</f>
        <v/>
      </c>
      <c r="K12" s="138"/>
      <c r="L12" s="138">
        <v>15</v>
      </c>
      <c r="M12" s="138">
        <v>1</v>
      </c>
      <c r="N12" s="139">
        <v>173</v>
      </c>
      <c r="O12" s="140">
        <v>4320</v>
      </c>
      <c r="P12" s="140">
        <v>320</v>
      </c>
      <c r="Q12" s="140">
        <v>320</v>
      </c>
      <c r="R12" s="140">
        <v>0</v>
      </c>
      <c r="S12" s="140">
        <v>0</v>
      </c>
      <c r="T12" s="140">
        <v>4320</v>
      </c>
      <c r="U12" s="140"/>
      <c r="V12" s="184">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Row],[OpnAvwb]],0))))</f>
        <v>4320</v>
      </c>
      <c r="W12" s="186">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Row],[AantVerlU]],0))))</f>
        <v>173</v>
      </c>
      <c r="X12" s="184"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f>
        <v/>
      </c>
      <c r="Y12" s="186"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f>
        <v/>
      </c>
    </row>
    <row r="13" spans="1:38" s="113" customFormat="1" ht="16.399999999999999" customHeight="1" x14ac:dyDescent="0.25">
      <c r="A13" s="249"/>
      <c r="B13" s="250"/>
      <c r="C13" s="200"/>
      <c r="D13" s="145">
        <f>IF(OR(Datum_Einde_IKV&gt;G12,Datum_Einde_IKV=""),IF(AND($B$2="Maandelijks", COUNTIF($D$1:D12, 12)=1), "",IF(OR(AND($B$2="Maandelijks", D12=12),AND($B$2="Vierwekelijks", D12=13), D12 = "Periode"), 1, D12+1)),"")</f>
        <v>12</v>
      </c>
      <c r="E13" s="145" t="str">
        <f>IF(OR(Datum_Einde_IKV="",Tabel1353615161819[[#This Row],[DatAanvTv]]&lt;Datum_Einde_IKV),IF(E12="december","",IF(Verloningsperiodiciteit="maandelijks",rekenwaarden!F14,_xlfn.CONCAT("Periode ",rekenwaarden!E14))),"")</f>
        <v>december</v>
      </c>
      <c r="F13" s="146">
        <f t="shared" si="0"/>
        <v>46722</v>
      </c>
      <c r="G13" s="146">
        <f>IF(F13="", "", IF(Verloningsperiodiciteit="Vierwekelijks", _xlfn.XLOOKUP(F13,rekenwaarden!$C$3:$C$54,rekenwaarden!$D$3:$D$54,"niet gevonden",-1), _xlfn.XLOOKUP(F13,rekenwaarden!$I$3:$I$54,rekenwaarden!$J$3:$J$54,"niet gevonden",-1)))</f>
        <v>46752</v>
      </c>
      <c r="H13" s="147">
        <f>IF(Tabel1353615161819[[#This Row],[Inkomsten-periode]]="","",DATEDIF(Geboortedatum,Tabel1353615161819[[#This Row],[DatEindTv]],"Y"))</f>
        <v>34</v>
      </c>
      <c r="I13" s="146">
        <f>IF(Tabel1353615161819[[#This Row],[Inkomsten-periode]]="","",IF(Datum_Aanvang_IKV="","",Datum_Aanvang_IKV))</f>
        <v>45658</v>
      </c>
      <c r="J13" s="146" t="str">
        <f>IF(Tabel1353615161819[[#This Row],[Inkomsten-periode]]="","",IF(Datum_Einde_IKV="","",IF(Datum_Einde_IKV&lt;=Tabel1353615161819[[#This Row],[DatEindTv]],Datum_Einde_IKV,"")))</f>
        <v/>
      </c>
      <c r="K13" s="141"/>
      <c r="L13" s="141">
        <v>15</v>
      </c>
      <c r="M13" s="141">
        <v>1</v>
      </c>
      <c r="N13" s="142">
        <v>173</v>
      </c>
      <c r="O13" s="143">
        <v>4320</v>
      </c>
      <c r="P13" s="143">
        <v>320</v>
      </c>
      <c r="Q13" s="143">
        <v>320</v>
      </c>
      <c r="R13" s="143">
        <v>0</v>
      </c>
      <c r="S13" s="143">
        <v>0</v>
      </c>
      <c r="T13" s="143">
        <v>4320</v>
      </c>
      <c r="U13" s="143"/>
      <c r="V13" s="184">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Row],[OpnAvwb]],0))))</f>
        <v>4320</v>
      </c>
      <c r="W13" s="186">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Row],[AantVerlU]],0))))</f>
        <v>173</v>
      </c>
      <c r="X13" s="184"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f>
        <v/>
      </c>
      <c r="Y13" s="186"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f>
        <v/>
      </c>
    </row>
    <row r="14" spans="1:38" s="113" customFormat="1" ht="16.399999999999999" customHeight="1" x14ac:dyDescent="0.25">
      <c r="A14" s="249"/>
      <c r="B14" s="250"/>
      <c r="C14" s="200"/>
      <c r="D14" s="144" t="str">
        <f>IF(OR(Datum_Einde_IKV&gt;G13,Datum_Einde_IKV=""),IF(AND($B$2="Maandelijks", COUNTIF($D$1:D13, 12)=1), "",IF(OR(AND($B$2="Maandelijks", D13=12),AND($B$2="Vierwekelijks", D13=13), D13 = "Periode"), 1, D13+1)),"")</f>
        <v/>
      </c>
      <c r="E14" s="145" t="str">
        <f>IF(OR(Datum_Einde_IKV="",Tabel1353615161819[[#This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IF(Tabel1353615161819[[#This Row],[Inkomsten-periode]]="","",DATEDIF(Geboortedatum,Tabel1353615161819[[#This Row],[DatEindTv]],"Y"))</f>
        <v/>
      </c>
      <c r="I14" s="146" t="str">
        <f>IF(Tabel1353615161819[[#This Row],[Inkomsten-periode]]="","",IF(Datum_Aanvang_IKV="","",Datum_Aanvang_IKV))</f>
        <v/>
      </c>
      <c r="J14" s="146" t="str">
        <f>IF(Tabel1353615161819[[#This Row],[Inkomsten-periode]]="","",IF(Datum_Einde_IKV="","",IF(Datum_Einde_IKV&lt;=Tabel1353615161819[[#This Row],[DatEindTv]],Datum_Einde_IKV,"")))</f>
        <v/>
      </c>
      <c r="K14" s="138"/>
      <c r="L14" s="138"/>
      <c r="M14" s="138"/>
      <c r="N14" s="139"/>
      <c r="O14" s="140"/>
      <c r="P14" s="140"/>
      <c r="Q14" s="140"/>
      <c r="R14" s="140"/>
      <c r="S14" s="140"/>
      <c r="T14" s="140"/>
      <c r="U14" s="140"/>
      <c r="V14" s="184" t="str">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Row],[OpnAvwb]],0))))</f>
        <v/>
      </c>
      <c r="W14" s="187" t="str">
        <f>IF(Tabel1353615161819[[#This Row],[Inkomsten-periode]]="","",IF(OR(Tabel1353615161819[[#This Row],[Leeftijd]]&lt;18,Tabel1353615161819[[#This Row],[Leeftijd]]&gt;=68),0,IF(Tabel1353615161819[[#This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Row],[AantVerlU]],0))))</f>
        <v/>
      </c>
      <c r="X14" s="184"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Row],[LnInGld]]+Tabel1353615161819[[#This Row],[OpgRchtVakBsl]]-Tabel1353615161819[[#This Row],[VakBsl]]+Tabel1353615161819[[#This Row],[OpbAvwb]]-Tabel1353615161819[[#This Row],[OpnAvwb]],"")),"")</f>
        <v/>
      </c>
      <c r="Y14" s="187" t="str">
        <f>IF(Tabel1353615161819[[#This Row],[Inkomsten-periode]]="",IF(Tabel1353615161819[[#This Row],[CdRdnEindArbov]]=33,0,IF(AND(OR(Tabel1353615161819[[#This Row],[SrtIV]]=13,Tabel1353615161819[[#This Row],[SrtIV]]=15,Tabel1353615161819[[#This Row],[SrtIV]]=31),OR(Tabel1353615161819[[#This Row],[CdAard]]=1,Tabel1353615161819[[#This Row],[CdAard]]=11,Tabel1353615161819[[#This Row],[CdAard]]=82,Tabel1353615161819[[#This Row],[CdAard]]=83)),Tabel1353615161819[[#This Row],[AantVerlU]],"")),"")</f>
        <v/>
      </c>
    </row>
    <row r="15" spans="1:38" ht="16.399999999999999" customHeight="1" thickBot="1" x14ac:dyDescent="0.3">
      <c r="A15" s="249"/>
      <c r="B15" s="250"/>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6.399999999999999" customHeight="1" x14ac:dyDescent="0.35">
      <c r="A16" s="249"/>
      <c r="B16" s="250"/>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249"/>
      <c r="B17" s="250"/>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249"/>
      <c r="B18" s="250"/>
      <c r="C18" s="200"/>
      <c r="D18" s="163">
        <f>D2</f>
        <v>1</v>
      </c>
      <c r="E18" s="150" t="str">
        <f>E2</f>
        <v>januari</v>
      </c>
      <c r="F18" s="151">
        <f>F2</f>
        <v>46388</v>
      </c>
      <c r="G18" s="151">
        <f>G2</f>
        <v>46418</v>
      </c>
      <c r="H18" s="188">
        <f t="shared" ref="H18:H30" si="1">IF(AND(W2="",Y2=""),"",MAX(W2,Y2))</f>
        <v>173</v>
      </c>
      <c r="I18" s="191">
        <f t="shared" ref="I18:I30" si="2">IF(AND(V2="",X2=""),"",MAX(V2,X2))</f>
        <v>4520</v>
      </c>
      <c r="J18" s="188">
        <f>IF($E18="","",IF($E19="",SUM(H18:H$30),H18))</f>
        <v>173</v>
      </c>
      <c r="K18" s="191">
        <f>IF($E18="","",IF($E19="",SUM(I18:I$30),I18))</f>
        <v>4520</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4520</v>
      </c>
      <c r="T18" s="157">
        <f t="shared" ref="T18:T30" si="10">IF(M18="","",J18+IF(AND(D18&lt;&gt;1, T17&lt;&gt;""),T17,0))</f>
        <v>173</v>
      </c>
      <c r="U18" s="157">
        <f t="shared" ref="U18:U30" si="11">IF(M18="","",R18+IF(AND(D18&lt;&gt;1, U17&lt;&gt;""),U17,0))</f>
        <v>173.33333333333334</v>
      </c>
      <c r="V18" s="158">
        <f>IF(M18="",0,T18/U18)</f>
        <v>0.99807692307692297</v>
      </c>
      <c r="W18" s="159">
        <f>IF(M18="","",VLOOKUP($B$6,rekenwaarden!M$8:N$12,2))</f>
        <v>9.4499999999999993</v>
      </c>
      <c r="X18" s="160">
        <f t="shared" ref="X18:X30" si="12">IF(M18="","",W18*J18)</f>
        <v>1634.85</v>
      </c>
      <c r="Y18" s="160">
        <f t="shared" ref="Y18:Y30" si="13">IF(M18="","",X18+IF(AND(D18&lt;&gt;1, Y17&lt;&gt;""),Y17,0))</f>
        <v>1634.85</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2885.15</v>
      </c>
      <c r="AE18" s="160">
        <f t="shared" ref="AE18:AE30" si="17">IF(M18="","",AD18-IF(AND(D18&lt;&gt;1, AD17&lt;&gt;""),AD17,0))</f>
        <v>2885.15</v>
      </c>
      <c r="AF18" s="160">
        <f>IF(OR($B$8="ONWAAR", M18=""), "", MAX(MIN(S18, AC18*MIN(1, V18))-AA18*MIN(1, V18), 0))</f>
        <v>0</v>
      </c>
      <c r="AG18" s="160">
        <f t="shared" ref="AG18:AG30" si="18">IF(OR(M18="", AF18=""),"",AF18-IF(AND(D18&lt;&gt;1, AF17&lt;&gt;""),AF17,0))</f>
        <v>0</v>
      </c>
      <c r="AH18" s="161">
        <f t="shared" ref="AH18:AH30" ca="1" si="19">IF($M18="", "", AE18*INDIRECT(CONCATENATE("premiepct", YEAR(F18))))</f>
        <v>856.88954999999999</v>
      </c>
      <c r="AI18" s="161">
        <f ca="1">IF(OR($F$4=FALSE, M18=""), "", AG18*INDIRECT(CONCATENATE("premiepct", YEAR($F18))))</f>
        <v>0</v>
      </c>
      <c r="AJ18" s="161"/>
      <c r="AK18" s="161"/>
      <c r="AL18" s="164">
        <f ca="1">IF(M18="","",SUM(AH18:AK18))</f>
        <v>856.88954999999999</v>
      </c>
    </row>
    <row r="19" spans="1:38" s="113" customFormat="1" ht="15.65" customHeight="1" x14ac:dyDescent="0.25">
      <c r="A19" s="249"/>
      <c r="B19" s="250"/>
      <c r="C19" s="200"/>
      <c r="D19" s="163">
        <f t="shared" ref="D19:G30" si="20">D3</f>
        <v>2</v>
      </c>
      <c r="E19" s="150" t="str">
        <f t="shared" si="20"/>
        <v>februari</v>
      </c>
      <c r="F19" s="151">
        <f t="shared" si="20"/>
        <v>46419</v>
      </c>
      <c r="G19" s="151">
        <f t="shared" si="20"/>
        <v>46446</v>
      </c>
      <c r="H19" s="189">
        <f t="shared" si="1"/>
        <v>173</v>
      </c>
      <c r="I19" s="192">
        <f t="shared" si="2"/>
        <v>4480</v>
      </c>
      <c r="J19" s="189">
        <f>IF($E19="","",IF($E20="",SUM(H19:H$30),H19))</f>
        <v>173</v>
      </c>
      <c r="K19" s="192">
        <f>IF($E19="","",IF($E20="",SUM(I19:I$30),I19))</f>
        <v>4480</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9000</v>
      </c>
      <c r="T19" s="157">
        <f t="shared" si="10"/>
        <v>346</v>
      </c>
      <c r="U19" s="157">
        <f t="shared" si="11"/>
        <v>346.66666666666669</v>
      </c>
      <c r="V19" s="158">
        <f t="shared" ref="V19:V30" si="22">IF(M19="","",T19/U19)</f>
        <v>0.99807692307692297</v>
      </c>
      <c r="W19" s="159">
        <f>IF(M19="","",VLOOKUP($B$6,rekenwaarden!M$8:N$12,2))</f>
        <v>9.4499999999999993</v>
      </c>
      <c r="X19" s="160">
        <f t="shared" si="12"/>
        <v>1634.85</v>
      </c>
      <c r="Y19" s="160">
        <f t="shared" si="13"/>
        <v>3269.7</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5730.3</v>
      </c>
      <c r="AE19" s="160">
        <f t="shared" si="17"/>
        <v>2845.15</v>
      </c>
      <c r="AF19" s="160">
        <f t="shared" ref="AF19:AF30" si="23">IF(OR($B$8="ONWAAR", M19=""), "", MAX(MIN(S19, AC19*MIN(1, V19))-AA19*MIN(1, V19), 0))</f>
        <v>0</v>
      </c>
      <c r="AG19" s="160">
        <f t="shared" si="18"/>
        <v>0</v>
      </c>
      <c r="AH19" s="161">
        <f t="shared" ca="1" si="19"/>
        <v>845.00954999999999</v>
      </c>
      <c r="AI19" s="161">
        <f t="shared" ref="AI19:AI30" ca="1" si="24">IF(OR($F$4=FALSE, M19=""), "", AG19*INDIRECT(CONCATENATE("premiepct", YEAR($F19))))</f>
        <v>0</v>
      </c>
      <c r="AJ19" s="161"/>
      <c r="AK19" s="161"/>
      <c r="AL19" s="164">
        <f t="shared" ref="AL19:AL30" ca="1" si="25">IF(M19="","",SUM(AH19:AK19))</f>
        <v>845.00954999999999</v>
      </c>
    </row>
    <row r="20" spans="1:38" s="113" customFormat="1" ht="15.65" customHeight="1" x14ac:dyDescent="0.25">
      <c r="A20" s="249"/>
      <c r="B20" s="250"/>
      <c r="C20" s="200"/>
      <c r="D20" s="163">
        <f t="shared" si="20"/>
        <v>3</v>
      </c>
      <c r="E20" s="150" t="str">
        <f t="shared" si="20"/>
        <v>maart</v>
      </c>
      <c r="F20" s="151">
        <f t="shared" si="20"/>
        <v>46447</v>
      </c>
      <c r="G20" s="151">
        <f t="shared" si="20"/>
        <v>46477</v>
      </c>
      <c r="H20" s="188">
        <f t="shared" si="1"/>
        <v>173</v>
      </c>
      <c r="I20" s="191">
        <f t="shared" si="2"/>
        <v>4480</v>
      </c>
      <c r="J20" s="188">
        <f>IF($E20="","",IF($E21="",SUM(H20:H$30),H20))</f>
        <v>173</v>
      </c>
      <c r="K20" s="191">
        <f>IF($E20="","",IF($E21="",SUM(I20:I$30),I20))</f>
        <v>4480</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13480</v>
      </c>
      <c r="T20" s="157">
        <f t="shared" si="10"/>
        <v>519</v>
      </c>
      <c r="U20" s="157">
        <f t="shared" si="11"/>
        <v>520</v>
      </c>
      <c r="V20" s="158">
        <f t="shared" si="22"/>
        <v>0.99807692307692308</v>
      </c>
      <c r="W20" s="159">
        <f>IF(M20="","",VLOOKUP($B$6,rekenwaarden!M$8:N$12,2))</f>
        <v>9.4499999999999993</v>
      </c>
      <c r="X20" s="160">
        <f t="shared" si="12"/>
        <v>1634.85</v>
      </c>
      <c r="Y20" s="160">
        <f t="shared" si="13"/>
        <v>4904.5499999999993</v>
      </c>
      <c r="Z20" s="160">
        <f>IF(M20="","", VLOOKUP(B$6,rekenwaarden!M$8:T$12,3)*Q20)</f>
        <v>6617.4166666666661</v>
      </c>
      <c r="AA20" s="160">
        <f t="shared" si="14"/>
        <v>19852.25</v>
      </c>
      <c r="AB20" s="160">
        <f>IF(M20="","", VLOOKUP($B$6,rekenwaarden!M$8:T$12,4)*Q20)</f>
        <v>11483.333333333332</v>
      </c>
      <c r="AC20" s="160">
        <f t="shared" si="15"/>
        <v>34450</v>
      </c>
      <c r="AD20" s="160">
        <f t="shared" si="16"/>
        <v>8575.4500000000007</v>
      </c>
      <c r="AE20" s="160">
        <f t="shared" si="17"/>
        <v>2845.1500000000005</v>
      </c>
      <c r="AF20" s="160">
        <f t="shared" si="23"/>
        <v>0</v>
      </c>
      <c r="AG20" s="160">
        <f t="shared" si="18"/>
        <v>0</v>
      </c>
      <c r="AH20" s="161">
        <f t="shared" ca="1" si="19"/>
        <v>845.0095500000001</v>
      </c>
      <c r="AI20" s="161">
        <f t="shared" ca="1" si="24"/>
        <v>0</v>
      </c>
      <c r="AJ20" s="161"/>
      <c r="AK20" s="161"/>
      <c r="AL20" s="164">
        <f t="shared" ca="1" si="25"/>
        <v>845.0095500000001</v>
      </c>
    </row>
    <row r="21" spans="1:38" s="113" customFormat="1" ht="15.65" customHeight="1" x14ac:dyDescent="0.25">
      <c r="A21" s="249"/>
      <c r="B21" s="250"/>
      <c r="C21" s="200"/>
      <c r="D21" s="163">
        <f t="shared" si="20"/>
        <v>4</v>
      </c>
      <c r="E21" s="150" t="str">
        <f t="shared" si="20"/>
        <v>april</v>
      </c>
      <c r="F21" s="151">
        <f t="shared" si="20"/>
        <v>46478</v>
      </c>
      <c r="G21" s="151">
        <f t="shared" si="20"/>
        <v>46507</v>
      </c>
      <c r="H21" s="189">
        <f t="shared" si="1"/>
        <v>173</v>
      </c>
      <c r="I21" s="192">
        <f t="shared" si="2"/>
        <v>4320</v>
      </c>
      <c r="J21" s="189">
        <f>IF($E21="","",IF($E22="",SUM(H21:H$30),H21))</f>
        <v>173</v>
      </c>
      <c r="K21" s="192">
        <f>IF($E21="","",IF($E22="",SUM(I21:I$30),I21))</f>
        <v>4320</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17800</v>
      </c>
      <c r="T21" s="157">
        <f t="shared" si="10"/>
        <v>692</v>
      </c>
      <c r="U21" s="157">
        <f t="shared" si="11"/>
        <v>693.33333333333337</v>
      </c>
      <c r="V21" s="158">
        <f t="shared" si="22"/>
        <v>0.99807692307692297</v>
      </c>
      <c r="W21" s="159">
        <f>IF(M21="","",VLOOKUP($B$6,rekenwaarden!M$8:N$12,2))</f>
        <v>9.4499999999999993</v>
      </c>
      <c r="X21" s="160">
        <f t="shared" si="12"/>
        <v>1634.85</v>
      </c>
      <c r="Y21" s="160">
        <f t="shared" si="13"/>
        <v>6539.4</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11260.6</v>
      </c>
      <c r="AE21" s="160">
        <f t="shared" si="17"/>
        <v>2685.1499999999996</v>
      </c>
      <c r="AF21" s="160">
        <f t="shared" si="23"/>
        <v>0</v>
      </c>
      <c r="AG21" s="160">
        <f t="shared" si="18"/>
        <v>0</v>
      </c>
      <c r="AH21" s="161">
        <f t="shared" ca="1" si="19"/>
        <v>797.48954999999989</v>
      </c>
      <c r="AI21" s="161">
        <f t="shared" ca="1" si="24"/>
        <v>0</v>
      </c>
      <c r="AJ21" s="161"/>
      <c r="AK21" s="161"/>
      <c r="AL21" s="164">
        <f t="shared" ca="1" si="25"/>
        <v>797.48954999999989</v>
      </c>
    </row>
    <row r="22" spans="1:38" s="113" customFormat="1" ht="15.65" customHeight="1" x14ac:dyDescent="0.25">
      <c r="A22" s="249"/>
      <c r="B22" s="250"/>
      <c r="C22" s="200"/>
      <c r="D22" s="163">
        <f t="shared" si="20"/>
        <v>5</v>
      </c>
      <c r="E22" s="150" t="str">
        <f t="shared" si="20"/>
        <v>mei</v>
      </c>
      <c r="F22" s="151">
        <f t="shared" si="20"/>
        <v>46508</v>
      </c>
      <c r="G22" s="151">
        <f t="shared" si="20"/>
        <v>46538</v>
      </c>
      <c r="H22" s="188">
        <f t="shared" si="1"/>
        <v>173</v>
      </c>
      <c r="I22" s="191">
        <f t="shared" si="2"/>
        <v>4320</v>
      </c>
      <c r="J22" s="188">
        <f>IF($E22="","",IF($E23="",SUM(H22:H$30),H22))</f>
        <v>173</v>
      </c>
      <c r="K22" s="191">
        <f>IF($E22="","",IF($E23="",SUM(I22:I$30),I22))</f>
        <v>4320</v>
      </c>
      <c r="L22" s="152">
        <f t="shared" si="3"/>
        <v>40</v>
      </c>
      <c r="M22" s="151">
        <f t="shared" si="4"/>
        <v>46508</v>
      </c>
      <c r="N22" s="151">
        <f t="shared" si="5"/>
        <v>46538</v>
      </c>
      <c r="O22" s="150">
        <f t="shared" si="21"/>
        <v>31</v>
      </c>
      <c r="P22" s="153">
        <f t="shared" si="6"/>
        <v>1</v>
      </c>
      <c r="Q22" s="154">
        <f t="shared" si="7"/>
        <v>8.3333333333333329E-2</v>
      </c>
      <c r="R22" s="155">
        <f t="shared" si="8"/>
        <v>173.33333333333334</v>
      </c>
      <c r="S22" s="156">
        <f t="shared" si="9"/>
        <v>22120</v>
      </c>
      <c r="T22" s="157">
        <f t="shared" si="10"/>
        <v>865</v>
      </c>
      <c r="U22" s="157">
        <f t="shared" si="11"/>
        <v>866.66666666666674</v>
      </c>
      <c r="V22" s="158">
        <f t="shared" si="22"/>
        <v>0.99807692307692297</v>
      </c>
      <c r="W22" s="159">
        <f>IF(M22="","",VLOOKUP($B$6,rekenwaarden!M$8:N$12,2))</f>
        <v>9.4499999999999993</v>
      </c>
      <c r="X22" s="160">
        <f t="shared" si="12"/>
        <v>1634.85</v>
      </c>
      <c r="Y22" s="160">
        <f t="shared" si="13"/>
        <v>8174.25</v>
      </c>
      <c r="Z22" s="160">
        <f>IF(M22="","", VLOOKUP(B$6,rekenwaarden!M$8:T$12,3)*Q22)</f>
        <v>6617.4166666666661</v>
      </c>
      <c r="AA22" s="160">
        <f t="shared" si="14"/>
        <v>33087.083333333328</v>
      </c>
      <c r="AB22" s="160">
        <f>IF(M22="","", VLOOKUP($B$6,rekenwaarden!M$8:T$12,4)*Q22)</f>
        <v>11483.333333333332</v>
      </c>
      <c r="AC22" s="160">
        <f t="shared" si="15"/>
        <v>57416.666666666657</v>
      </c>
      <c r="AD22" s="160">
        <f t="shared" si="16"/>
        <v>13945.75</v>
      </c>
      <c r="AE22" s="160">
        <f t="shared" si="17"/>
        <v>2685.1499999999996</v>
      </c>
      <c r="AF22" s="160">
        <f t="shared" si="23"/>
        <v>0</v>
      </c>
      <c r="AG22" s="160">
        <f t="shared" si="18"/>
        <v>0</v>
      </c>
      <c r="AH22" s="161">
        <f t="shared" ca="1" si="19"/>
        <v>797.48954999999989</v>
      </c>
      <c r="AI22" s="161">
        <f t="shared" ca="1" si="24"/>
        <v>0</v>
      </c>
      <c r="AJ22" s="161"/>
      <c r="AK22" s="161"/>
      <c r="AL22" s="164">
        <f t="shared" ca="1" si="25"/>
        <v>797.48954999999989</v>
      </c>
    </row>
    <row r="23" spans="1:38" s="113" customFormat="1" ht="15.65" customHeight="1" x14ac:dyDescent="0.25">
      <c r="A23" s="249"/>
      <c r="B23" s="250"/>
      <c r="C23" s="200"/>
      <c r="D23" s="163">
        <f t="shared" si="20"/>
        <v>6</v>
      </c>
      <c r="E23" s="150" t="str">
        <f t="shared" si="20"/>
        <v>juni</v>
      </c>
      <c r="F23" s="151">
        <f t="shared" si="20"/>
        <v>46539</v>
      </c>
      <c r="G23" s="151">
        <f t="shared" si="20"/>
        <v>46568</v>
      </c>
      <c r="H23" s="189">
        <f t="shared" si="1"/>
        <v>173</v>
      </c>
      <c r="I23" s="192">
        <f t="shared" si="2"/>
        <v>4320</v>
      </c>
      <c r="J23" s="189">
        <f>IF($E23="","",IF($E24="",SUM(H23:H$30),H23))</f>
        <v>173</v>
      </c>
      <c r="K23" s="192">
        <f>IF($E23="","",IF($E24="",SUM(I23:I$30),I23))</f>
        <v>4320</v>
      </c>
      <c r="L23" s="152">
        <f t="shared" si="3"/>
        <v>40</v>
      </c>
      <c r="M23" s="151">
        <f t="shared" si="4"/>
        <v>46539</v>
      </c>
      <c r="N23" s="151">
        <f t="shared" si="5"/>
        <v>46568</v>
      </c>
      <c r="O23" s="150">
        <f t="shared" si="21"/>
        <v>30</v>
      </c>
      <c r="P23" s="153">
        <f t="shared" si="6"/>
        <v>1</v>
      </c>
      <c r="Q23" s="154">
        <f t="shared" si="7"/>
        <v>8.3333333333333329E-2</v>
      </c>
      <c r="R23" s="155">
        <f t="shared" si="8"/>
        <v>173.33333333333334</v>
      </c>
      <c r="S23" s="156">
        <f t="shared" si="9"/>
        <v>26440</v>
      </c>
      <c r="T23" s="157">
        <f t="shared" si="10"/>
        <v>1038</v>
      </c>
      <c r="U23" s="157">
        <f t="shared" si="11"/>
        <v>1040</v>
      </c>
      <c r="V23" s="158">
        <f t="shared" si="22"/>
        <v>0.99807692307692308</v>
      </c>
      <c r="W23" s="159">
        <f>IF(M23="","",VLOOKUP($B$6,rekenwaarden!M$8:N$12,2))</f>
        <v>9.4499999999999993</v>
      </c>
      <c r="X23" s="160">
        <f t="shared" si="12"/>
        <v>1634.85</v>
      </c>
      <c r="Y23" s="160">
        <f t="shared" si="13"/>
        <v>9809.1</v>
      </c>
      <c r="Z23" s="160">
        <f>IF(M23="","", VLOOKUP(B$6,rekenwaarden!M$8:T$12,3)*Q23)</f>
        <v>6617.4166666666661</v>
      </c>
      <c r="AA23" s="160">
        <f t="shared" si="14"/>
        <v>39704.499999999993</v>
      </c>
      <c r="AB23" s="160">
        <f>IF(M23="","", VLOOKUP($B$6,rekenwaarden!M$8:T$12,4)*Q23)</f>
        <v>11483.333333333332</v>
      </c>
      <c r="AC23" s="160">
        <f t="shared" si="15"/>
        <v>68899.999999999985</v>
      </c>
      <c r="AD23" s="160">
        <f t="shared" si="16"/>
        <v>16630.900000000001</v>
      </c>
      <c r="AE23" s="160">
        <f t="shared" si="17"/>
        <v>2685.1500000000015</v>
      </c>
      <c r="AF23" s="160">
        <f t="shared" si="23"/>
        <v>0</v>
      </c>
      <c r="AG23" s="160">
        <f t="shared" si="18"/>
        <v>0</v>
      </c>
      <c r="AH23" s="161">
        <f t="shared" ca="1" si="19"/>
        <v>797.48955000000035</v>
      </c>
      <c r="AI23" s="161">
        <f t="shared" ca="1" si="24"/>
        <v>0</v>
      </c>
      <c r="AJ23" s="161"/>
      <c r="AK23" s="161"/>
      <c r="AL23" s="164">
        <f t="shared" ca="1" si="25"/>
        <v>797.48955000000035</v>
      </c>
    </row>
    <row r="24" spans="1:38" s="113" customFormat="1" ht="15.65" customHeight="1" x14ac:dyDescent="0.25">
      <c r="A24" s="249"/>
      <c r="B24" s="250"/>
      <c r="C24" s="200"/>
      <c r="D24" s="163">
        <f t="shared" si="20"/>
        <v>7</v>
      </c>
      <c r="E24" s="150" t="str">
        <f t="shared" si="20"/>
        <v>juli</v>
      </c>
      <c r="F24" s="151">
        <f t="shared" si="20"/>
        <v>46569</v>
      </c>
      <c r="G24" s="151">
        <f t="shared" si="20"/>
        <v>46599</v>
      </c>
      <c r="H24" s="188">
        <f t="shared" si="1"/>
        <v>173</v>
      </c>
      <c r="I24" s="191">
        <f t="shared" si="2"/>
        <v>4320</v>
      </c>
      <c r="J24" s="188">
        <f>IF($E24="","",IF($E25="",SUM(H24:H$30),H24))</f>
        <v>173</v>
      </c>
      <c r="K24" s="191">
        <f>IF($E24="","",IF($E25="",SUM(I24:I$30),I24))</f>
        <v>4320</v>
      </c>
      <c r="L24" s="152">
        <f t="shared" si="3"/>
        <v>40</v>
      </c>
      <c r="M24" s="151">
        <f t="shared" si="4"/>
        <v>46569</v>
      </c>
      <c r="N24" s="151">
        <f t="shared" si="5"/>
        <v>46599</v>
      </c>
      <c r="O24" s="150">
        <f t="shared" si="21"/>
        <v>31</v>
      </c>
      <c r="P24" s="153">
        <f t="shared" si="6"/>
        <v>1</v>
      </c>
      <c r="Q24" s="154">
        <f t="shared" si="7"/>
        <v>8.3333333333333329E-2</v>
      </c>
      <c r="R24" s="155">
        <f t="shared" si="8"/>
        <v>173.33333333333334</v>
      </c>
      <c r="S24" s="156">
        <f t="shared" si="9"/>
        <v>30760</v>
      </c>
      <c r="T24" s="157">
        <f t="shared" si="10"/>
        <v>1211</v>
      </c>
      <c r="U24" s="157">
        <f t="shared" si="11"/>
        <v>1213.3333333333333</v>
      </c>
      <c r="V24" s="158">
        <f t="shared" si="22"/>
        <v>0.99807692307692319</v>
      </c>
      <c r="W24" s="159">
        <f>IF(M24="","",VLOOKUP($B$6,rekenwaarden!M$8:N$12,2))</f>
        <v>9.4499999999999993</v>
      </c>
      <c r="X24" s="160">
        <f t="shared" si="12"/>
        <v>1634.85</v>
      </c>
      <c r="Y24" s="160">
        <f t="shared" si="13"/>
        <v>11443.95</v>
      </c>
      <c r="Z24" s="160">
        <f>IF(M24="","", VLOOKUP(B$6,rekenwaarden!M$8:T$12,3)*Q24)</f>
        <v>6617.4166666666661</v>
      </c>
      <c r="AA24" s="160">
        <f t="shared" si="14"/>
        <v>46321.916666666657</v>
      </c>
      <c r="AB24" s="160">
        <f>IF(M24="","", VLOOKUP($B$6,rekenwaarden!M$8:T$12,4)*Q24)</f>
        <v>11483.333333333332</v>
      </c>
      <c r="AC24" s="160">
        <f t="shared" si="15"/>
        <v>80383.333333333314</v>
      </c>
      <c r="AD24" s="160">
        <f t="shared" si="16"/>
        <v>19316.05</v>
      </c>
      <c r="AE24" s="160">
        <f t="shared" si="17"/>
        <v>2685.1499999999978</v>
      </c>
      <c r="AF24" s="160">
        <f t="shared" si="23"/>
        <v>0</v>
      </c>
      <c r="AG24" s="160">
        <f t="shared" si="18"/>
        <v>0</v>
      </c>
      <c r="AH24" s="161">
        <f t="shared" ca="1" si="19"/>
        <v>797.48954999999933</v>
      </c>
      <c r="AI24" s="161">
        <f t="shared" ca="1" si="24"/>
        <v>0</v>
      </c>
      <c r="AJ24" s="161"/>
      <c r="AK24" s="161"/>
      <c r="AL24" s="164">
        <f t="shared" ca="1" si="25"/>
        <v>797.48954999999933</v>
      </c>
    </row>
    <row r="25" spans="1:38" s="113" customFormat="1" ht="15.65" customHeight="1" x14ac:dyDescent="0.25">
      <c r="A25" s="249"/>
      <c r="B25" s="250"/>
      <c r="C25" s="200"/>
      <c r="D25" s="163">
        <f t="shared" si="20"/>
        <v>8</v>
      </c>
      <c r="E25" s="150" t="str">
        <f t="shared" si="20"/>
        <v>augustus</v>
      </c>
      <c r="F25" s="151">
        <f t="shared" si="20"/>
        <v>46600</v>
      </c>
      <c r="G25" s="151">
        <f t="shared" si="20"/>
        <v>46630</v>
      </c>
      <c r="H25" s="189">
        <f t="shared" si="1"/>
        <v>173</v>
      </c>
      <c r="I25" s="192">
        <f t="shared" si="2"/>
        <v>4320</v>
      </c>
      <c r="J25" s="189">
        <f>IF($E25="","",IF($E26="",SUM(H25:H$30),H25))</f>
        <v>173</v>
      </c>
      <c r="K25" s="192">
        <f>IF($E25="","",IF($E26="",SUM(I25:I$30),I25))</f>
        <v>4320</v>
      </c>
      <c r="L25" s="152">
        <f t="shared" si="3"/>
        <v>40</v>
      </c>
      <c r="M25" s="151">
        <f t="shared" si="4"/>
        <v>46600</v>
      </c>
      <c r="N25" s="151">
        <f t="shared" si="5"/>
        <v>46630</v>
      </c>
      <c r="O25" s="150">
        <f t="shared" si="21"/>
        <v>31</v>
      </c>
      <c r="P25" s="153">
        <f t="shared" si="6"/>
        <v>1</v>
      </c>
      <c r="Q25" s="154">
        <f t="shared" si="7"/>
        <v>8.3333333333333329E-2</v>
      </c>
      <c r="R25" s="155">
        <f t="shared" si="8"/>
        <v>173.33333333333334</v>
      </c>
      <c r="S25" s="156">
        <f t="shared" si="9"/>
        <v>35080</v>
      </c>
      <c r="T25" s="157">
        <f t="shared" si="10"/>
        <v>1384</v>
      </c>
      <c r="U25" s="157">
        <f t="shared" si="11"/>
        <v>1386.6666666666665</v>
      </c>
      <c r="V25" s="158">
        <f t="shared" si="22"/>
        <v>0.99807692307692319</v>
      </c>
      <c r="W25" s="159">
        <f>IF(M25="","",VLOOKUP($B$6,rekenwaarden!M$8:N$12,2))</f>
        <v>9.4499999999999993</v>
      </c>
      <c r="X25" s="160">
        <f t="shared" si="12"/>
        <v>1634.85</v>
      </c>
      <c r="Y25" s="160">
        <f t="shared" si="13"/>
        <v>13078.800000000001</v>
      </c>
      <c r="Z25" s="160">
        <f>IF(M25="","", VLOOKUP(B$6,rekenwaarden!M$8:T$12,3)*Q25)</f>
        <v>6617.4166666666661</v>
      </c>
      <c r="AA25" s="160">
        <f t="shared" si="14"/>
        <v>52939.333333333321</v>
      </c>
      <c r="AB25" s="160">
        <f>IF(M25="","", VLOOKUP($B$6,rekenwaarden!M$8:T$12,4)*Q25)</f>
        <v>11483.333333333332</v>
      </c>
      <c r="AC25" s="160">
        <f t="shared" si="15"/>
        <v>91866.666666666642</v>
      </c>
      <c r="AD25" s="160">
        <f t="shared" si="16"/>
        <v>22001.199999999997</v>
      </c>
      <c r="AE25" s="160">
        <f t="shared" si="17"/>
        <v>2685.1499999999978</v>
      </c>
      <c r="AF25" s="160">
        <f t="shared" si="23"/>
        <v>0</v>
      </c>
      <c r="AG25" s="160">
        <f t="shared" si="18"/>
        <v>0</v>
      </c>
      <c r="AH25" s="161">
        <f t="shared" ca="1" si="19"/>
        <v>797.48954999999933</v>
      </c>
      <c r="AI25" s="161">
        <f t="shared" ca="1" si="24"/>
        <v>0</v>
      </c>
      <c r="AJ25" s="161"/>
      <c r="AK25" s="161"/>
      <c r="AL25" s="164">
        <f t="shared" ca="1" si="25"/>
        <v>797.48954999999933</v>
      </c>
    </row>
    <row r="26" spans="1:38" s="113" customFormat="1" ht="15.65" customHeight="1" x14ac:dyDescent="0.25">
      <c r="A26" s="125"/>
      <c r="B26" s="126"/>
      <c r="C26" s="200"/>
      <c r="D26" s="163">
        <f t="shared" si="20"/>
        <v>9</v>
      </c>
      <c r="E26" s="150" t="str">
        <f t="shared" si="20"/>
        <v>september</v>
      </c>
      <c r="F26" s="151">
        <f t="shared" si="20"/>
        <v>46631</v>
      </c>
      <c r="G26" s="151">
        <f t="shared" si="20"/>
        <v>46660</v>
      </c>
      <c r="H26" s="188">
        <f t="shared" si="1"/>
        <v>173</v>
      </c>
      <c r="I26" s="191">
        <f t="shared" si="2"/>
        <v>4320</v>
      </c>
      <c r="J26" s="188">
        <f>IF($E26="","",IF($E27="",SUM(H26:H$30),H26))</f>
        <v>173</v>
      </c>
      <c r="K26" s="191">
        <f>IF($E26="","",IF($E27="",SUM(I26:I$30),I26))</f>
        <v>4320</v>
      </c>
      <c r="L26" s="152">
        <f t="shared" si="3"/>
        <v>40</v>
      </c>
      <c r="M26" s="151">
        <f t="shared" si="4"/>
        <v>46631</v>
      </c>
      <c r="N26" s="151">
        <f t="shared" si="5"/>
        <v>46660</v>
      </c>
      <c r="O26" s="150">
        <f t="shared" si="21"/>
        <v>30</v>
      </c>
      <c r="P26" s="153">
        <f t="shared" si="6"/>
        <v>1</v>
      </c>
      <c r="Q26" s="154">
        <f t="shared" si="7"/>
        <v>8.3333333333333329E-2</v>
      </c>
      <c r="R26" s="155">
        <f t="shared" si="8"/>
        <v>173.33333333333334</v>
      </c>
      <c r="S26" s="156">
        <f t="shared" si="9"/>
        <v>39400</v>
      </c>
      <c r="T26" s="157">
        <f t="shared" si="10"/>
        <v>1557</v>
      </c>
      <c r="U26" s="157">
        <f t="shared" si="11"/>
        <v>1559.9999999999998</v>
      </c>
      <c r="V26" s="158">
        <f t="shared" si="22"/>
        <v>0.99807692307692319</v>
      </c>
      <c r="W26" s="159">
        <f>IF(M26="","",VLOOKUP($B$6,rekenwaarden!M$8:N$12,2))</f>
        <v>9.4499999999999993</v>
      </c>
      <c r="X26" s="160">
        <f t="shared" si="12"/>
        <v>1634.85</v>
      </c>
      <c r="Y26" s="160">
        <f t="shared" si="13"/>
        <v>14713.650000000001</v>
      </c>
      <c r="Z26" s="160">
        <f>IF(M26="","", VLOOKUP(B$6,rekenwaarden!M$8:T$12,3)*Q26)</f>
        <v>6617.4166666666661</v>
      </c>
      <c r="AA26" s="160">
        <f t="shared" si="14"/>
        <v>59556.749999999985</v>
      </c>
      <c r="AB26" s="160">
        <f>IF(M26="","", VLOOKUP($B$6,rekenwaarden!M$8:T$12,4)*Q26)</f>
        <v>11483.333333333332</v>
      </c>
      <c r="AC26" s="160">
        <f t="shared" si="15"/>
        <v>103349.99999999997</v>
      </c>
      <c r="AD26" s="160">
        <f t="shared" si="16"/>
        <v>24686.35</v>
      </c>
      <c r="AE26" s="160">
        <f t="shared" si="17"/>
        <v>2685.1500000000015</v>
      </c>
      <c r="AF26" s="160">
        <f t="shared" si="23"/>
        <v>0</v>
      </c>
      <c r="AG26" s="160">
        <f t="shared" si="18"/>
        <v>0</v>
      </c>
      <c r="AH26" s="161">
        <f t="shared" ca="1" si="19"/>
        <v>797.48955000000035</v>
      </c>
      <c r="AI26" s="161">
        <f t="shared" ca="1" si="24"/>
        <v>0</v>
      </c>
      <c r="AJ26" s="161"/>
      <c r="AK26" s="161"/>
      <c r="AL26" s="164">
        <f t="shared" ca="1" si="25"/>
        <v>797.48955000000035</v>
      </c>
    </row>
    <row r="27" spans="1:38" s="113" customFormat="1" ht="15.65" customHeight="1" x14ac:dyDescent="0.25">
      <c r="A27" s="125"/>
      <c r="B27" s="126"/>
      <c r="C27" s="200"/>
      <c r="D27" s="163">
        <f t="shared" si="20"/>
        <v>10</v>
      </c>
      <c r="E27" s="150" t="str">
        <f t="shared" si="20"/>
        <v>oktober</v>
      </c>
      <c r="F27" s="151">
        <f t="shared" si="20"/>
        <v>46661</v>
      </c>
      <c r="G27" s="151">
        <f t="shared" si="20"/>
        <v>46691</v>
      </c>
      <c r="H27" s="189">
        <f t="shared" si="1"/>
        <v>173</v>
      </c>
      <c r="I27" s="192">
        <f t="shared" si="2"/>
        <v>4320</v>
      </c>
      <c r="J27" s="189">
        <f>IF($E27="","",IF($E28="",SUM(H27:H$30),H27))</f>
        <v>173</v>
      </c>
      <c r="K27" s="192">
        <f>IF($E27="","",IF($E28="",SUM(I27:I$30),I27))</f>
        <v>4320</v>
      </c>
      <c r="L27" s="152">
        <f t="shared" si="3"/>
        <v>40</v>
      </c>
      <c r="M27" s="151">
        <f t="shared" si="4"/>
        <v>46661</v>
      </c>
      <c r="N27" s="151">
        <f t="shared" si="5"/>
        <v>46691</v>
      </c>
      <c r="O27" s="150">
        <f t="shared" si="21"/>
        <v>31</v>
      </c>
      <c r="P27" s="153">
        <f t="shared" si="6"/>
        <v>1</v>
      </c>
      <c r="Q27" s="154">
        <f t="shared" si="7"/>
        <v>8.3333333333333329E-2</v>
      </c>
      <c r="R27" s="155">
        <f t="shared" si="8"/>
        <v>173.33333333333334</v>
      </c>
      <c r="S27" s="156">
        <f t="shared" si="9"/>
        <v>43720</v>
      </c>
      <c r="T27" s="157">
        <f t="shared" si="10"/>
        <v>1730</v>
      </c>
      <c r="U27" s="157">
        <f t="shared" si="11"/>
        <v>1733.333333333333</v>
      </c>
      <c r="V27" s="158">
        <f t="shared" si="22"/>
        <v>0.99807692307692331</v>
      </c>
      <c r="W27" s="159">
        <f>IF(M27="","",VLOOKUP($B$6,rekenwaarden!M$8:N$12,2))</f>
        <v>9.4499999999999993</v>
      </c>
      <c r="X27" s="160">
        <f t="shared" si="12"/>
        <v>1634.85</v>
      </c>
      <c r="Y27" s="160">
        <f t="shared" si="13"/>
        <v>16348.500000000002</v>
      </c>
      <c r="Z27" s="160">
        <f>IF(M27="","", VLOOKUP(B$6,rekenwaarden!M$8:T$12,3)*Q27)</f>
        <v>6617.4166666666661</v>
      </c>
      <c r="AA27" s="160">
        <f t="shared" si="14"/>
        <v>66174.166666666657</v>
      </c>
      <c r="AB27" s="160">
        <f>IF(M27="","", VLOOKUP($B$6,rekenwaarden!M$8:T$12,4)*Q27)</f>
        <v>11483.333333333332</v>
      </c>
      <c r="AC27" s="160">
        <f t="shared" si="15"/>
        <v>114833.3333333333</v>
      </c>
      <c r="AD27" s="160">
        <f t="shared" si="16"/>
        <v>27371.5</v>
      </c>
      <c r="AE27" s="160">
        <f t="shared" si="17"/>
        <v>2685.1500000000015</v>
      </c>
      <c r="AF27" s="160">
        <f t="shared" si="23"/>
        <v>0</v>
      </c>
      <c r="AG27" s="160">
        <f t="shared" si="18"/>
        <v>0</v>
      </c>
      <c r="AH27" s="161">
        <f t="shared" ca="1" si="19"/>
        <v>797.48955000000035</v>
      </c>
      <c r="AI27" s="161">
        <f t="shared" ca="1" si="24"/>
        <v>0</v>
      </c>
      <c r="AJ27" s="161"/>
      <c r="AK27" s="161"/>
      <c r="AL27" s="164">
        <f t="shared" ca="1" si="25"/>
        <v>797.48955000000035</v>
      </c>
    </row>
    <row r="28" spans="1:38" s="113" customFormat="1" ht="15.65" customHeight="1" x14ac:dyDescent="0.25">
      <c r="A28" s="125"/>
      <c r="B28" s="126"/>
      <c r="C28" s="200"/>
      <c r="D28" s="163">
        <f t="shared" si="20"/>
        <v>11</v>
      </c>
      <c r="E28" s="150" t="str">
        <f t="shared" si="20"/>
        <v>november</v>
      </c>
      <c r="F28" s="151">
        <f t="shared" si="20"/>
        <v>46692</v>
      </c>
      <c r="G28" s="151">
        <f t="shared" si="20"/>
        <v>46721</v>
      </c>
      <c r="H28" s="188">
        <f t="shared" si="1"/>
        <v>173</v>
      </c>
      <c r="I28" s="191">
        <f t="shared" si="2"/>
        <v>4320</v>
      </c>
      <c r="J28" s="188">
        <f>IF($E28="","",IF($E29="",SUM(H28:H$30),H28))</f>
        <v>173</v>
      </c>
      <c r="K28" s="191">
        <f>IF($E28="","",IF($E29="",SUM(I28:I$30),I28))</f>
        <v>4320</v>
      </c>
      <c r="L28" s="152">
        <f t="shared" si="3"/>
        <v>40</v>
      </c>
      <c r="M28" s="151">
        <f t="shared" si="4"/>
        <v>46692</v>
      </c>
      <c r="N28" s="151">
        <f t="shared" si="5"/>
        <v>46721</v>
      </c>
      <c r="O28" s="150">
        <f t="shared" si="21"/>
        <v>30</v>
      </c>
      <c r="P28" s="153">
        <f t="shared" si="6"/>
        <v>1</v>
      </c>
      <c r="Q28" s="154">
        <f t="shared" si="7"/>
        <v>8.3333333333333329E-2</v>
      </c>
      <c r="R28" s="155">
        <f t="shared" si="8"/>
        <v>173.33333333333334</v>
      </c>
      <c r="S28" s="156">
        <f t="shared" si="9"/>
        <v>48040</v>
      </c>
      <c r="T28" s="157">
        <f t="shared" si="10"/>
        <v>1903</v>
      </c>
      <c r="U28" s="157">
        <f t="shared" si="11"/>
        <v>1906.6666666666663</v>
      </c>
      <c r="V28" s="158">
        <f t="shared" si="22"/>
        <v>0.99807692307692331</v>
      </c>
      <c r="W28" s="159">
        <f>IF(M28="","",VLOOKUP($B$6,rekenwaarden!M$8:N$12,2))</f>
        <v>9.4499999999999993</v>
      </c>
      <c r="X28" s="160">
        <f t="shared" si="12"/>
        <v>1634.85</v>
      </c>
      <c r="Y28" s="160">
        <f t="shared" si="13"/>
        <v>17983.350000000002</v>
      </c>
      <c r="Z28" s="160">
        <f>IF(M28="","", VLOOKUP(B$6,rekenwaarden!M$8:T$12,3)*Q28)</f>
        <v>6617.4166666666661</v>
      </c>
      <c r="AA28" s="160">
        <f t="shared" si="14"/>
        <v>72791.583333333328</v>
      </c>
      <c r="AB28" s="160">
        <f>IF(M28="","", VLOOKUP($B$6,rekenwaarden!M$8:T$12,4)*Q28)</f>
        <v>11483.333333333332</v>
      </c>
      <c r="AC28" s="160">
        <f t="shared" si="15"/>
        <v>126316.66666666663</v>
      </c>
      <c r="AD28" s="160">
        <f t="shared" si="16"/>
        <v>30056.649999999998</v>
      </c>
      <c r="AE28" s="160">
        <f t="shared" si="17"/>
        <v>2685.1499999999978</v>
      </c>
      <c r="AF28" s="160">
        <f t="shared" si="23"/>
        <v>0</v>
      </c>
      <c r="AG28" s="160">
        <f t="shared" si="18"/>
        <v>0</v>
      </c>
      <c r="AH28" s="161">
        <f t="shared" ca="1" si="19"/>
        <v>797.48954999999933</v>
      </c>
      <c r="AI28" s="161">
        <f t="shared" ca="1" si="24"/>
        <v>0</v>
      </c>
      <c r="AJ28" s="161"/>
      <c r="AK28" s="161"/>
      <c r="AL28" s="164">
        <f t="shared" ca="1" si="25"/>
        <v>797.48954999999933</v>
      </c>
    </row>
    <row r="29" spans="1:38" s="113" customFormat="1" ht="15.65" customHeight="1" x14ac:dyDescent="0.25">
      <c r="A29" s="125"/>
      <c r="B29" s="126"/>
      <c r="C29" s="200"/>
      <c r="D29" s="163">
        <f t="shared" si="20"/>
        <v>12</v>
      </c>
      <c r="E29" s="150" t="str">
        <f t="shared" si="20"/>
        <v>december</v>
      </c>
      <c r="F29" s="151">
        <f t="shared" si="20"/>
        <v>46722</v>
      </c>
      <c r="G29" s="151">
        <f t="shared" si="20"/>
        <v>46752</v>
      </c>
      <c r="H29" s="189">
        <f t="shared" si="1"/>
        <v>173</v>
      </c>
      <c r="I29" s="192">
        <f t="shared" si="2"/>
        <v>4320</v>
      </c>
      <c r="J29" s="189">
        <f>IF($E29="","",IF($E30="",SUM(H29:H$30),H29))</f>
        <v>173</v>
      </c>
      <c r="K29" s="192">
        <f>IF($E29="","",IF($E30="",SUM(I29:I$30),I29))</f>
        <v>4320</v>
      </c>
      <c r="L29" s="152">
        <f t="shared" si="3"/>
        <v>40</v>
      </c>
      <c r="M29" s="151">
        <f t="shared" si="4"/>
        <v>46722</v>
      </c>
      <c r="N29" s="151">
        <f t="shared" si="5"/>
        <v>46752</v>
      </c>
      <c r="O29" s="150">
        <f t="shared" si="21"/>
        <v>31</v>
      </c>
      <c r="P29" s="153">
        <f t="shared" si="6"/>
        <v>1</v>
      </c>
      <c r="Q29" s="154">
        <f t="shared" si="7"/>
        <v>8.3333333333333329E-2</v>
      </c>
      <c r="R29" s="155">
        <f t="shared" si="8"/>
        <v>173.33333333333334</v>
      </c>
      <c r="S29" s="156">
        <f t="shared" si="9"/>
        <v>52360</v>
      </c>
      <c r="T29" s="157">
        <f t="shared" si="10"/>
        <v>2076</v>
      </c>
      <c r="U29" s="157">
        <f t="shared" si="11"/>
        <v>2079.9999999999995</v>
      </c>
      <c r="V29" s="158">
        <f t="shared" si="22"/>
        <v>0.99807692307692331</v>
      </c>
      <c r="W29" s="159">
        <f>IF(M29="","",VLOOKUP($B$6,rekenwaarden!M$8:N$12,2))</f>
        <v>9.4499999999999993</v>
      </c>
      <c r="X29" s="160">
        <f t="shared" si="12"/>
        <v>1634.85</v>
      </c>
      <c r="Y29" s="160">
        <f t="shared" si="13"/>
        <v>19618.2</v>
      </c>
      <c r="Z29" s="160">
        <f>IF(M29="","", VLOOKUP(B$6,rekenwaarden!M$8:T$12,3)*Q29)</f>
        <v>6617.4166666666661</v>
      </c>
      <c r="AA29" s="160">
        <f t="shared" si="14"/>
        <v>79409</v>
      </c>
      <c r="AB29" s="160">
        <f>IF(M29="","", VLOOKUP($B$6,rekenwaarden!M$8:T$12,4)*Q29)</f>
        <v>11483.333333333332</v>
      </c>
      <c r="AC29" s="160">
        <f t="shared" si="15"/>
        <v>137799.99999999997</v>
      </c>
      <c r="AD29" s="160">
        <f t="shared" si="16"/>
        <v>32741.8</v>
      </c>
      <c r="AE29" s="160">
        <f t="shared" si="17"/>
        <v>2685.1500000000015</v>
      </c>
      <c r="AF29" s="160">
        <f t="shared" si="23"/>
        <v>0</v>
      </c>
      <c r="AG29" s="160">
        <f t="shared" si="18"/>
        <v>0</v>
      </c>
      <c r="AH29" s="161">
        <f t="shared" ca="1" si="19"/>
        <v>797.48955000000035</v>
      </c>
      <c r="AI29" s="161">
        <f t="shared" ca="1" si="24"/>
        <v>0</v>
      </c>
      <c r="AJ29" s="161"/>
      <c r="AK29" s="161"/>
      <c r="AL29" s="164">
        <f t="shared" ca="1" si="25"/>
        <v>797.48955000000035</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sheetData>
  <sheetProtection algorithmName="SHA-512" hashValue="5Dmd8Konp2W1Yf2l2nO2PTxdD5fE+4mnX26ltkmwVsxTfXRgg7O9DufDrdTxaX7v9NZ006vaytGiEvooWsBb5g==" saltValue="ndAVqjv/cN8K8tb5OhjKYw==" spinCount="100000" sheet="1" objects="1" scenarios="1"/>
  <protectedRanges>
    <protectedRange sqref="K2:U14" name="Loonaangiftebericht"/>
    <protectedRange sqref="B1:B9" name="Persoon en IKV"/>
  </protectedRanges>
  <mergeCells count="3">
    <mergeCell ref="A11:B11"/>
    <mergeCell ref="A12:B25"/>
    <mergeCell ref="D17:E17"/>
  </mergeCells>
  <dataValidations count="8">
    <dataValidation type="whole" allowBlank="1" showInputMessage="1" showErrorMessage="1" promptTitle="Handboek Loonheffingen: " prompt="Rekenkundig afgeronde hele uren" sqref="N2:N14" xr:uid="{FFF0DB8E-B926-4753-B967-1DB04F2DDB95}">
      <formula1>-999</formula1>
      <formula2>999</formula2>
    </dataValidation>
    <dataValidation type="list" allowBlank="1" showInputMessage="1" showErrorMessage="1" sqref="K2:K14" xr:uid="{443384FB-BDE0-4246-91F9-23112C6D2269}">
      <formula1>Code_Reden_Einde_Arbeidsverhouding</formula1>
    </dataValidation>
    <dataValidation type="list" allowBlank="1" showInputMessage="1" showErrorMessage="1" sqref="M2:M14" xr:uid="{0AB9B775-D7C6-4FD9-AE1A-01DC47AF6ACB}">
      <formula1>Code_Aard_Arbeidsverhouding</formula1>
    </dataValidation>
    <dataValidation type="list" allowBlank="1" showInputMessage="1" showErrorMessage="1" sqref="L2:L14" xr:uid="{B53577A3-EADF-4C19-BEB4-2930D6B08A30}">
      <formula1>Code_Soort_IKV</formula1>
    </dataValidation>
    <dataValidation type="list" allowBlank="1" showInputMessage="1" showErrorMessage="1" sqref="C2" xr:uid="{053D3128-7DF4-4359-945B-2DCBA7CC4A3E}">
      <formula1>"maandelijks,vierwekelijks"</formula1>
    </dataValidation>
    <dataValidation type="list" allowBlank="1" showInputMessage="1" showErrorMessage="1" sqref="B1:C1" xr:uid="{0E73B3C5-E7B4-4B70-8952-0945E51E5C1A}">
      <formula1>"2027,2028"</formula1>
    </dataValidation>
    <dataValidation type="list" allowBlank="1" showInputMessage="1" showErrorMessage="1" sqref="B8:C8" xr:uid="{0ADD7E44-7B6E-45BD-B696-B44C2368A27A}">
      <formula1>"WAAR,NIET WAAR"</formula1>
    </dataValidation>
    <dataValidation type="list" allowBlank="1" showInputMessage="1" showErrorMessage="1" sqref="B2" xr:uid="{C50F8871-C9A3-423E-BA1D-62E0BFAE682D}">
      <formula1>"Maandelijks,Vierwekelijks"</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AB12BD20-9107-4FB2-8F49-8B2295118D4B}">
          <x14:formula1>
            <xm:f>rekenwaarden!$M$8:$M$12</xm:f>
          </x14:formula1>
          <xm:sqref>B6:C6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F0905-3BEC-481F-841E-86DA5B21A464}">
  <sheetPr>
    <tabColor theme="4" tint="0.39997558519241921"/>
  </sheetPr>
  <dimension ref="A1:AL30"/>
  <sheetViews>
    <sheetView showGridLines="0" zoomScale="90" zoomScaleNormal="90" workbookViewId="0">
      <pane xSplit="2" ySplit="30" topLeftCell="C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179687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8.1796875" customWidth="1"/>
    <col min="22" max="33" width="15.81640625" customWidth="1"/>
    <col min="34" max="34" width="19.453125" bestFit="1" customWidth="1"/>
    <col min="35" max="35" width="20.453125" customWidth="1"/>
    <col min="36" max="36" width="12.81640625" bestFit="1"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210" t="s">
        <v>18</v>
      </c>
      <c r="W1" s="211" t="s">
        <v>71</v>
      </c>
      <c r="X1" s="120" t="s">
        <v>62</v>
      </c>
      <c r="Y1" s="120" t="s">
        <v>63</v>
      </c>
    </row>
    <row r="2" spans="1:38" s="113" customFormat="1" ht="16.399999999999999" customHeight="1" x14ac:dyDescent="0.25">
      <c r="A2" s="122" t="s">
        <v>19</v>
      </c>
      <c r="B2" s="132" t="s">
        <v>20</v>
      </c>
      <c r="C2" s="201"/>
      <c r="D2" s="144">
        <f>IF(AND($B$2="Maandelijks", COUNTIF($D$1:D1, 12)&gt;1), "",IF(OR(AND($B$2="Maandelijks", D1=12),AND($B$2="Vierwekelijks", D1=13), D1 = "Periode"), 1, A13+1))</f>
        <v>1</v>
      </c>
      <c r="E2" s="145" t="str">
        <f>IF(OR(Datum_Einde_IKV="",Tabel135361516181920[[#This Row],[DatAanvTv]]&lt;Datum_Einde_IKV),IF(E1="december","",IF(Verloningsperiodiciteit="maandelijks",rekenwaarden!F3,_xlfn.CONCAT("Periode ",rekenwaarden!E3))),"")</f>
        <v>Periode 1</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IF(Tabel135361516181920[[#This Row],[Inkomsten-periode]]="","",DATEDIF(Geboortedatum,Tabel135361516181920[[#This Row],[DatEindTv]],"Y"))</f>
        <v>33</v>
      </c>
      <c r="I2" s="146">
        <f>IF(Tabel135361516181920[[#This Row],[Inkomsten-periode]]="","",IF(Datum_Aanvang_IKV="","",Datum_Aanvang_IKV))</f>
        <v>45658</v>
      </c>
      <c r="J2" s="146" t="str">
        <f>IF(Tabel135361516181920[[#This Row],[Inkomsten-periode]]="","",IF(Datum_Einde_IKV="","",IF(Datum_Einde_IKV&lt;=Tabel135361516181920[[#This Row],[DatEindTv]],Datum_Einde_IKV,"")))</f>
        <v/>
      </c>
      <c r="K2" s="138"/>
      <c r="L2" s="138">
        <v>15</v>
      </c>
      <c r="M2" s="138">
        <v>1</v>
      </c>
      <c r="N2" s="139">
        <v>160</v>
      </c>
      <c r="O2" s="140">
        <f>160*18</f>
        <v>2880</v>
      </c>
      <c r="P2" s="140">
        <v>0</v>
      </c>
      <c r="Q2" s="140">
        <f>0.08*Tabel135361516181920[[#This Row],[LnSV]]</f>
        <v>230.4</v>
      </c>
      <c r="R2" s="140">
        <v>0</v>
      </c>
      <c r="S2" s="140">
        <v>0</v>
      </c>
      <c r="T2" s="140">
        <f>160*18</f>
        <v>2880</v>
      </c>
      <c r="U2" s="140"/>
      <c r="V2" s="184">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Row],[OpnAvwb]],0))))</f>
        <v>3110.4</v>
      </c>
      <c r="W2" s="185">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Row],[AantVerlU]],0))))</f>
        <v>160</v>
      </c>
      <c r="X2" s="184"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f>
        <v/>
      </c>
      <c r="Y2" s="185"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f>
        <v/>
      </c>
    </row>
    <row r="3" spans="1:38" s="113" customFormat="1" ht="16.399999999999999" customHeight="1" x14ac:dyDescent="0.25">
      <c r="A3" s="122" t="s">
        <v>21</v>
      </c>
      <c r="B3" s="133">
        <v>34162</v>
      </c>
      <c r="C3" s="202"/>
      <c r="D3" s="145">
        <f>IF(OR(Datum_Einde_IKV&gt;G2,Datum_Einde_IKV=""),IF(AND($B$2="Maandelijks", COUNTIF($D$1:D2, 12)=1), "",IF(OR(AND($B$2="Maandelijks", D2=12),AND($B$2="Vierwekelijks", D2=13), D2 = "Periode"), 1, D2+1)),"")</f>
        <v>2</v>
      </c>
      <c r="E3" s="145" t="str">
        <f>IF(OR(Datum_Einde_IKV="",Tabel135361516181920[[#This Row],[DatAanvTv]]&lt;Datum_Einde_IKV),IF(E2="december","",IF(Verloningsperiodiciteit="maandelijks",rekenwaarden!F4,_xlfn.CONCAT("Periode ",rekenwaarden!E4))),"")</f>
        <v>Periode 2</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IF(Tabel135361516181920[[#This Row],[Inkomsten-periode]]="","",DATEDIF(Geboortedatum,Tabel135361516181920[[#This Row],[DatEindTv]],"Y"))</f>
        <v>33</v>
      </c>
      <c r="I3" s="146">
        <f>IF(Tabel135361516181920[[#This Row],[Inkomsten-periode]]="","",IF(Datum_Aanvang_IKV="","",Datum_Aanvang_IKV))</f>
        <v>45658</v>
      </c>
      <c r="J3" s="146" t="str">
        <f>IF(Tabel135361516181920[[#This Row],[Inkomsten-periode]]="","",IF(Datum_Einde_IKV="","",IF(Datum_Einde_IKV&lt;=Tabel135361516181920[[#This Row],[DatEindTv]],Datum_Einde_IKV,"")))</f>
        <v/>
      </c>
      <c r="K3" s="141"/>
      <c r="L3" s="141">
        <v>15</v>
      </c>
      <c r="M3" s="141">
        <v>1</v>
      </c>
      <c r="N3" s="142">
        <v>160</v>
      </c>
      <c r="O3" s="143">
        <f t="shared" ref="O3:O10" si="1">160*18</f>
        <v>2880</v>
      </c>
      <c r="P3" s="143">
        <v>0</v>
      </c>
      <c r="Q3" s="143">
        <f>0.08*Tabel135361516181920[[#This Row],[LnSV]]</f>
        <v>230.4</v>
      </c>
      <c r="R3" s="143">
        <v>0</v>
      </c>
      <c r="S3" s="143">
        <v>0</v>
      </c>
      <c r="T3" s="143">
        <f t="shared" ref="T3:T10" si="2">160*18</f>
        <v>2880</v>
      </c>
      <c r="U3" s="143"/>
      <c r="V3" s="184">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Row],[OpnAvwb]],0))))</f>
        <v>3110.4</v>
      </c>
      <c r="W3" s="186">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Row],[AantVerlU]],0))))</f>
        <v>160</v>
      </c>
      <c r="X3" s="184"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f>
        <v/>
      </c>
      <c r="Y3" s="186"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f>
        <v/>
      </c>
    </row>
    <row r="4" spans="1:38" s="113" customFormat="1" ht="16.399999999999999" customHeight="1" x14ac:dyDescent="0.25">
      <c r="A4" s="122" t="s">
        <v>22</v>
      </c>
      <c r="B4" s="134">
        <v>45658</v>
      </c>
      <c r="C4" s="202"/>
      <c r="D4" s="144">
        <f>IF(OR(Datum_Einde_IKV&gt;G3,Datum_Einde_IKV=""),IF(AND($B$2="Maandelijks", COUNTIF($D$1:D3, 12)=1), "",IF(OR(AND($B$2="Maandelijks", D3=12),AND($B$2="Vierwekelijks", D3=13), D3 = "Periode"), 1, D3+1)),"")</f>
        <v>3</v>
      </c>
      <c r="E4" s="145" t="str">
        <f>IF(OR(Datum_Einde_IKV="",Tabel135361516181920[[#This Row],[DatAanvTv]]&lt;Datum_Einde_IKV),IF(E3="december","",IF(Verloningsperiodiciteit="maandelijks",rekenwaarden!F5,_xlfn.CONCAT("Periode ",rekenwaarden!E5))),"")</f>
        <v>Periode 3</v>
      </c>
      <c r="F4" s="146">
        <f t="shared" si="0"/>
        <v>46447</v>
      </c>
      <c r="G4" s="146">
        <f>IF(F4="", "", IF(Verloningsperiodiciteit="Vierwekelijks", _xlfn.XLOOKUP(F4,rekenwaarden!$C$3:$C$54,rekenwaarden!$D$3:$D$54,"niet gevonden",-1), _xlfn.XLOOKUP(F4,rekenwaarden!$I$3:$I$54,rekenwaarden!$J$3:$J$54,"niet gevonden",-1)))</f>
        <v>46474</v>
      </c>
      <c r="H4" s="147">
        <f>IF(Tabel135361516181920[[#This Row],[Inkomsten-periode]]="","",DATEDIF(Geboortedatum,Tabel135361516181920[[#This Row],[DatEindTv]],"Y"))</f>
        <v>33</v>
      </c>
      <c r="I4" s="146">
        <f>IF(Tabel135361516181920[[#This Row],[Inkomsten-periode]]="","",IF(Datum_Aanvang_IKV="","",Datum_Aanvang_IKV))</f>
        <v>45658</v>
      </c>
      <c r="J4" s="146" t="str">
        <f>IF(Tabel135361516181920[[#This Row],[Inkomsten-periode]]="","",IF(Datum_Einde_IKV="","",IF(Datum_Einde_IKV&lt;=Tabel135361516181920[[#This Row],[DatEindTv]],Datum_Einde_IKV,"")))</f>
        <v/>
      </c>
      <c r="K4" s="138"/>
      <c r="L4" s="138">
        <v>15</v>
      </c>
      <c r="M4" s="138">
        <v>1</v>
      </c>
      <c r="N4" s="139">
        <v>160</v>
      </c>
      <c r="O4" s="140">
        <f t="shared" si="1"/>
        <v>2880</v>
      </c>
      <c r="P4" s="140">
        <v>0</v>
      </c>
      <c r="Q4" s="140">
        <f>0.08*Tabel135361516181920[[#This Row],[LnSV]]</f>
        <v>230.4</v>
      </c>
      <c r="R4" s="140">
        <v>0</v>
      </c>
      <c r="S4" s="140">
        <v>0</v>
      </c>
      <c r="T4" s="140">
        <f t="shared" si="2"/>
        <v>2880</v>
      </c>
      <c r="U4" s="140"/>
      <c r="V4" s="184">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Row],[OpnAvwb]],0))))</f>
        <v>3110.4</v>
      </c>
      <c r="W4" s="186">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Row],[AantVerlU]],0))))</f>
        <v>160</v>
      </c>
      <c r="X4" s="184"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f>
        <v/>
      </c>
      <c r="Y4" s="186"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f>
        <v/>
      </c>
    </row>
    <row r="5" spans="1:38" s="113" customFormat="1" ht="16.399999999999999" customHeight="1" x14ac:dyDescent="0.25">
      <c r="A5" s="122" t="s">
        <v>23</v>
      </c>
      <c r="B5" s="133"/>
      <c r="C5" s="202"/>
      <c r="D5" s="145">
        <f>IF(OR(Datum_Einde_IKV&gt;G4,Datum_Einde_IKV=""),IF(AND($B$2="Maandelijks", COUNTIF($D$1:D4, 12)=1), "",IF(OR(AND($B$2="Maandelijks", D4=12),AND($B$2="Vierwekelijks", D4=13), D4 = "Periode"), 1, D4+1)),"")</f>
        <v>4</v>
      </c>
      <c r="E5" s="145" t="str">
        <f>IF(OR(Datum_Einde_IKV="",Tabel135361516181920[[#This Row],[DatAanvTv]]&lt;Datum_Einde_IKV),IF(E4="december","",IF(Verloningsperiodiciteit="maandelijks",rekenwaarden!F6,_xlfn.CONCAT("Periode ",rekenwaarden!E6))),"")</f>
        <v>Periode 4</v>
      </c>
      <c r="F5" s="146">
        <f t="shared" si="0"/>
        <v>46475</v>
      </c>
      <c r="G5" s="146">
        <f>IF(F5="", "", IF(Verloningsperiodiciteit="Vierwekelijks", _xlfn.XLOOKUP(F5,rekenwaarden!$C$3:$C$54,rekenwaarden!$D$3:$D$54,"niet gevonden",-1), _xlfn.XLOOKUP(F5,rekenwaarden!$I$3:$I$54,rekenwaarden!$J$3:$J$54,"niet gevonden",-1)))</f>
        <v>46502</v>
      </c>
      <c r="H5" s="147">
        <f>IF(Tabel135361516181920[[#This Row],[Inkomsten-periode]]="","",DATEDIF(Geboortedatum,Tabel135361516181920[[#This Row],[DatEindTv]],"Y"))</f>
        <v>33</v>
      </c>
      <c r="I5" s="146">
        <f>IF(Tabel135361516181920[[#This Row],[Inkomsten-periode]]="","",IF(Datum_Aanvang_IKV="","",Datum_Aanvang_IKV))</f>
        <v>45658</v>
      </c>
      <c r="J5" s="146" t="str">
        <f>IF(Tabel135361516181920[[#This Row],[Inkomsten-periode]]="","",IF(Datum_Einde_IKV="","",IF(Datum_Einde_IKV&lt;=Tabel135361516181920[[#This Row],[DatEindTv]],Datum_Einde_IKV,"")))</f>
        <v/>
      </c>
      <c r="K5" s="141"/>
      <c r="L5" s="141">
        <v>15</v>
      </c>
      <c r="M5" s="141">
        <v>1</v>
      </c>
      <c r="N5" s="142">
        <v>160</v>
      </c>
      <c r="O5" s="143">
        <f t="shared" si="1"/>
        <v>2880</v>
      </c>
      <c r="P5" s="143">
        <v>0</v>
      </c>
      <c r="Q5" s="143">
        <f>0.08*Tabel135361516181920[[#This Row],[LnSV]]</f>
        <v>230.4</v>
      </c>
      <c r="R5" s="143">
        <v>0</v>
      </c>
      <c r="S5" s="143">
        <v>0</v>
      </c>
      <c r="T5" s="143">
        <f t="shared" si="2"/>
        <v>2880</v>
      </c>
      <c r="U5" s="143"/>
      <c r="V5" s="184">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Row],[OpnAvwb]],0))))</f>
        <v>3110.4</v>
      </c>
      <c r="W5" s="186">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Row],[AantVerlU]],0))))</f>
        <v>160</v>
      </c>
      <c r="X5" s="184"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f>
        <v/>
      </c>
      <c r="Y5" s="186"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f>
        <v/>
      </c>
    </row>
    <row r="6" spans="1:38" s="113" customFormat="1" ht="16.399999999999999" customHeight="1" x14ac:dyDescent="0.25">
      <c r="A6" s="122" t="s">
        <v>24</v>
      </c>
      <c r="B6" s="135" t="s">
        <v>176</v>
      </c>
      <c r="C6" s="203"/>
      <c r="D6" s="144">
        <f>IF(OR(Datum_Einde_IKV&gt;G5,Datum_Einde_IKV=""),IF(AND($B$2="Maandelijks", COUNTIF($D$1:D5, 12)=1), "",IF(OR(AND($B$2="Maandelijks", D5=12),AND($B$2="Vierwekelijks", D5=13), D5 = "Periode"), 1, D5+1)),"")</f>
        <v>5</v>
      </c>
      <c r="E6" s="145" t="str">
        <f>IF(OR(Datum_Einde_IKV="",Tabel135361516181920[[#This Row],[DatAanvTv]]&lt;Datum_Einde_IKV),IF(E5="december","",IF(Verloningsperiodiciteit="maandelijks",rekenwaarden!F7,_xlfn.CONCAT("Periode ",rekenwaarden!E7))),"")</f>
        <v>Periode 5</v>
      </c>
      <c r="F6" s="146">
        <f t="shared" si="0"/>
        <v>46503</v>
      </c>
      <c r="G6" s="146">
        <f>IF(F6="", "", IF(Verloningsperiodiciteit="Vierwekelijks", _xlfn.XLOOKUP(F6,rekenwaarden!$C$3:$C$54,rekenwaarden!$D$3:$D$54,"niet gevonden",-1), _xlfn.XLOOKUP(F6,rekenwaarden!$I$3:$I$54,rekenwaarden!$J$3:$J$54,"niet gevonden",-1)))</f>
        <v>46530</v>
      </c>
      <c r="H6" s="147">
        <f>IF(Tabel135361516181920[[#This Row],[Inkomsten-periode]]="","",DATEDIF(Geboortedatum,Tabel135361516181920[[#This Row],[DatEindTv]],"Y"))</f>
        <v>33</v>
      </c>
      <c r="I6" s="146">
        <f>IF(Tabel135361516181920[[#This Row],[Inkomsten-periode]]="","",IF(Datum_Aanvang_IKV="","",Datum_Aanvang_IKV))</f>
        <v>45658</v>
      </c>
      <c r="J6" s="146" t="str">
        <f>IF(Tabel135361516181920[[#This Row],[Inkomsten-periode]]="","",IF(Datum_Einde_IKV="","",IF(Datum_Einde_IKV&lt;=Tabel135361516181920[[#This Row],[DatEindTv]],Datum_Einde_IKV,"")))</f>
        <v/>
      </c>
      <c r="K6" s="138"/>
      <c r="L6" s="138">
        <v>15</v>
      </c>
      <c r="M6" s="138">
        <v>1</v>
      </c>
      <c r="N6" s="139">
        <v>160</v>
      </c>
      <c r="O6" s="140">
        <f t="shared" si="1"/>
        <v>2880</v>
      </c>
      <c r="P6" s="140">
        <v>0</v>
      </c>
      <c r="Q6" s="140">
        <f>0.08*Tabel135361516181920[[#This Row],[LnSV]]</f>
        <v>230.4</v>
      </c>
      <c r="R6" s="140">
        <v>0</v>
      </c>
      <c r="S6" s="140">
        <v>0</v>
      </c>
      <c r="T6" s="140">
        <f t="shared" si="2"/>
        <v>2880</v>
      </c>
      <c r="U6" s="140"/>
      <c r="V6" s="184">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Row],[OpnAvwb]],0))))</f>
        <v>3110.4</v>
      </c>
      <c r="W6" s="186">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Row],[AantVerlU]],0))))</f>
        <v>160</v>
      </c>
      <c r="X6" s="184"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f>
        <v/>
      </c>
      <c r="Y6" s="186"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f>
        <v/>
      </c>
    </row>
    <row r="7" spans="1:38" s="113" customFormat="1" ht="16.399999999999999" customHeight="1" x14ac:dyDescent="0.25">
      <c r="A7" s="122" t="s">
        <v>26</v>
      </c>
      <c r="B7" s="136">
        <f>VLOOKUP(B6,rekenwaarden!M8:T12,8)</f>
        <v>40</v>
      </c>
      <c r="C7" s="204"/>
      <c r="D7" s="145">
        <f>IF(OR(Datum_Einde_IKV&gt;G6,Datum_Einde_IKV=""),IF(AND($B$2="Maandelijks", COUNTIF($D$1:D6, 12)=1), "",IF(OR(AND($B$2="Maandelijks", D6=12),AND($B$2="Vierwekelijks", D6=13), D6 = "Periode"), 1, D6+1)),"")</f>
        <v>6</v>
      </c>
      <c r="E7" s="145" t="str">
        <f>IF(OR(Datum_Einde_IKV="",Tabel135361516181920[[#This Row],[DatAanvTv]]&lt;Datum_Einde_IKV),IF(E6="december","",IF(Verloningsperiodiciteit="maandelijks",rekenwaarden!F8,_xlfn.CONCAT("Periode ",rekenwaarden!E8))),"")</f>
        <v>Periode 6</v>
      </c>
      <c r="F7" s="146">
        <f t="shared" si="0"/>
        <v>46531</v>
      </c>
      <c r="G7" s="146">
        <f>IF(F7="", "", IF(Verloningsperiodiciteit="Vierwekelijks", _xlfn.XLOOKUP(F7,rekenwaarden!$C$3:$C$54,rekenwaarden!$D$3:$D$54,"niet gevonden",-1), _xlfn.XLOOKUP(F7,rekenwaarden!$I$3:$I$54,rekenwaarden!$J$3:$J$54,"niet gevonden",-1)))</f>
        <v>46558</v>
      </c>
      <c r="H7" s="147">
        <f>IF(Tabel135361516181920[[#This Row],[Inkomsten-periode]]="","",DATEDIF(Geboortedatum,Tabel135361516181920[[#This Row],[DatEindTv]],"Y"))</f>
        <v>33</v>
      </c>
      <c r="I7" s="146">
        <f>IF(Tabel135361516181920[[#This Row],[Inkomsten-periode]]="","",IF(Datum_Aanvang_IKV="","",Datum_Aanvang_IKV))</f>
        <v>45658</v>
      </c>
      <c r="J7" s="146" t="str">
        <f>IF(Tabel135361516181920[[#This Row],[Inkomsten-periode]]="","",IF(Datum_Einde_IKV="","",IF(Datum_Einde_IKV&lt;=Tabel135361516181920[[#This Row],[DatEindTv]],Datum_Einde_IKV,"")))</f>
        <v/>
      </c>
      <c r="K7" s="141"/>
      <c r="L7" s="141">
        <v>15</v>
      </c>
      <c r="M7" s="141">
        <v>1</v>
      </c>
      <c r="N7" s="142">
        <v>160</v>
      </c>
      <c r="O7" s="143">
        <f t="shared" si="1"/>
        <v>2880</v>
      </c>
      <c r="P7" s="143">
        <v>0</v>
      </c>
      <c r="Q7" s="143">
        <f>0.08*Tabel135361516181920[[#This Row],[LnSV]]</f>
        <v>230.4</v>
      </c>
      <c r="R7" s="143">
        <v>0</v>
      </c>
      <c r="S7" s="143">
        <v>0</v>
      </c>
      <c r="T7" s="143">
        <f t="shared" si="2"/>
        <v>2880</v>
      </c>
      <c r="U7" s="143"/>
      <c r="V7" s="184">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Row],[OpnAvwb]],0))))</f>
        <v>3110.4</v>
      </c>
      <c r="W7" s="186">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Row],[AantVerlU]],0))))</f>
        <v>160</v>
      </c>
      <c r="X7" s="184"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f>
        <v/>
      </c>
      <c r="Y7" s="186"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f>
        <v/>
      </c>
    </row>
    <row r="8" spans="1:38" s="113" customFormat="1" ht="16.399999999999999" customHeight="1" x14ac:dyDescent="0.25">
      <c r="A8" s="122" t="s">
        <v>27</v>
      </c>
      <c r="B8" s="137" t="b">
        <v>1</v>
      </c>
      <c r="C8" s="202"/>
      <c r="D8" s="144">
        <f>IF(OR(Datum_Einde_IKV&gt;G7,Datum_Einde_IKV=""),IF(AND($B$2="Maandelijks", COUNTIF($D$1:D7, 12)=1), "",IF(OR(AND($B$2="Maandelijks", D7=12),AND($B$2="Vierwekelijks", D7=13), D7 = "Periode"), 1, D7+1)),"")</f>
        <v>7</v>
      </c>
      <c r="E8" s="145" t="str">
        <f>IF(OR(Datum_Einde_IKV="",Tabel135361516181920[[#This Row],[DatAanvTv]]&lt;Datum_Einde_IKV),IF(E7="december","",IF(Verloningsperiodiciteit="maandelijks",rekenwaarden!F9,_xlfn.CONCAT("Periode ",rekenwaarden!E9))),"")</f>
        <v>Periode 7</v>
      </c>
      <c r="F8" s="146">
        <f t="shared" si="0"/>
        <v>46559</v>
      </c>
      <c r="G8" s="146">
        <f>IF(F8="", "", IF(Verloningsperiodiciteit="Vierwekelijks", _xlfn.XLOOKUP(F8,rekenwaarden!$C$3:$C$54,rekenwaarden!$D$3:$D$54,"niet gevonden",-1), _xlfn.XLOOKUP(F8,rekenwaarden!$I$3:$I$54,rekenwaarden!$J$3:$J$54,"niet gevonden",-1)))</f>
        <v>46586</v>
      </c>
      <c r="H8" s="147">
        <f>IF(Tabel135361516181920[[#This Row],[Inkomsten-periode]]="","",DATEDIF(Geboortedatum,Tabel135361516181920[[#This Row],[DatEindTv]],"Y"))</f>
        <v>34</v>
      </c>
      <c r="I8" s="146">
        <f>IF(Tabel135361516181920[[#This Row],[Inkomsten-periode]]="","",IF(Datum_Aanvang_IKV="","",Datum_Aanvang_IKV))</f>
        <v>45658</v>
      </c>
      <c r="J8" s="146" t="str">
        <f>IF(Tabel135361516181920[[#This Row],[Inkomsten-periode]]="","",IF(Datum_Einde_IKV="","",IF(Datum_Einde_IKV&lt;=Tabel135361516181920[[#This Row],[DatEindTv]],Datum_Einde_IKV,"")))</f>
        <v/>
      </c>
      <c r="K8" s="138"/>
      <c r="L8" s="138">
        <v>15</v>
      </c>
      <c r="M8" s="138">
        <v>1</v>
      </c>
      <c r="N8" s="139">
        <v>160</v>
      </c>
      <c r="O8" s="140">
        <f t="shared" si="1"/>
        <v>2880</v>
      </c>
      <c r="P8" s="140">
        <v>0</v>
      </c>
      <c r="Q8" s="140">
        <f>0.08*Tabel135361516181920[[#This Row],[LnSV]]</f>
        <v>230.4</v>
      </c>
      <c r="R8" s="140">
        <v>0</v>
      </c>
      <c r="S8" s="140">
        <v>0</v>
      </c>
      <c r="T8" s="140">
        <f t="shared" si="2"/>
        <v>2880</v>
      </c>
      <c r="U8" s="140"/>
      <c r="V8" s="184">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Row],[OpnAvwb]],0))))</f>
        <v>3110.4</v>
      </c>
      <c r="W8" s="186">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Row],[AantVerlU]],0))))</f>
        <v>160</v>
      </c>
      <c r="X8" s="184"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f>
        <v/>
      </c>
      <c r="Y8" s="186"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f>
        <v/>
      </c>
    </row>
    <row r="9" spans="1:38" s="113" customFormat="1" ht="16.399999999999999" customHeight="1" x14ac:dyDescent="0.25">
      <c r="A9" s="122"/>
      <c r="B9" s="131"/>
      <c r="C9" s="200"/>
      <c r="D9" s="145">
        <f>IF(OR(Datum_Einde_IKV&gt;G8,Datum_Einde_IKV=""),IF(AND($B$2="Maandelijks", COUNTIF($D$1:D8, 12)=1), "",IF(OR(AND($B$2="Maandelijks", D8=12),AND($B$2="Vierwekelijks", D8=13), D8 = "Periode"), 1, D8+1)),"")</f>
        <v>8</v>
      </c>
      <c r="E9" s="145" t="str">
        <f>IF(OR(Datum_Einde_IKV="",Tabel135361516181920[[#This Row],[DatAanvTv]]&lt;Datum_Einde_IKV),IF(E8="december","",IF(Verloningsperiodiciteit="maandelijks",rekenwaarden!F10,_xlfn.CONCAT("Periode ",rekenwaarden!E10))),"")</f>
        <v>Periode 8</v>
      </c>
      <c r="F9" s="146">
        <f t="shared" si="0"/>
        <v>46587</v>
      </c>
      <c r="G9" s="146">
        <f>IF(F9="", "", IF(Verloningsperiodiciteit="Vierwekelijks", _xlfn.XLOOKUP(F9,rekenwaarden!$C$3:$C$54,rekenwaarden!$D$3:$D$54,"niet gevonden",-1), _xlfn.XLOOKUP(F9,rekenwaarden!$I$3:$I$54,rekenwaarden!$J$3:$J$54,"niet gevonden",-1)))</f>
        <v>46614</v>
      </c>
      <c r="H9" s="147">
        <f>IF(Tabel135361516181920[[#This Row],[Inkomsten-periode]]="","",DATEDIF(Geboortedatum,Tabel135361516181920[[#This Row],[DatEindTv]],"Y"))</f>
        <v>34</v>
      </c>
      <c r="I9" s="146">
        <f>IF(Tabel135361516181920[[#This Row],[Inkomsten-periode]]="","",IF(Datum_Aanvang_IKV="","",Datum_Aanvang_IKV))</f>
        <v>45658</v>
      </c>
      <c r="J9" s="146" t="str">
        <f>IF(Tabel135361516181920[[#This Row],[Inkomsten-periode]]="","",IF(Datum_Einde_IKV="","",IF(Datum_Einde_IKV&lt;=Tabel135361516181920[[#This Row],[DatEindTv]],Datum_Einde_IKV,"")))</f>
        <v/>
      </c>
      <c r="K9" s="141"/>
      <c r="L9" s="141">
        <v>15</v>
      </c>
      <c r="M9" s="141">
        <v>1</v>
      </c>
      <c r="N9" s="142">
        <v>160</v>
      </c>
      <c r="O9" s="143">
        <f t="shared" si="1"/>
        <v>2880</v>
      </c>
      <c r="P9" s="143">
        <v>0</v>
      </c>
      <c r="Q9" s="143">
        <f>0.08*Tabel135361516181920[[#This Row],[LnSV]]</f>
        <v>230.4</v>
      </c>
      <c r="R9" s="143">
        <v>0</v>
      </c>
      <c r="S9" s="143">
        <v>0</v>
      </c>
      <c r="T9" s="143">
        <f t="shared" si="2"/>
        <v>2880</v>
      </c>
      <c r="U9" s="143"/>
      <c r="V9" s="184">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Row],[OpnAvwb]],0))))</f>
        <v>3110.4</v>
      </c>
      <c r="W9" s="186">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Row],[AantVerlU]],0))))</f>
        <v>160</v>
      </c>
      <c r="X9" s="184"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f>
        <v/>
      </c>
      <c r="Y9" s="186"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f>
        <v/>
      </c>
    </row>
    <row r="10" spans="1:38" s="113" customFormat="1" ht="16.399999999999999" customHeight="1" thickBot="1" x14ac:dyDescent="0.3">
      <c r="A10" s="200"/>
      <c r="B10" s="200"/>
      <c r="C10" s="200"/>
      <c r="D10" s="144">
        <f>IF(OR(Datum_Einde_IKV&gt;G9,Datum_Einde_IKV=""),IF(AND($B$2="Maandelijks", COUNTIF($D$1:D9, 12)=1), "",IF(OR(AND($B$2="Maandelijks", D9=12),AND($B$2="Vierwekelijks", D9=13), D9 = "Periode"), 1, D9+1)),"")</f>
        <v>9</v>
      </c>
      <c r="E10" s="145" t="str">
        <f>IF(OR(Datum_Einde_IKV="",Tabel135361516181920[[#This Row],[DatAanvTv]]&lt;Datum_Einde_IKV),IF(E9="december","",IF(Verloningsperiodiciteit="maandelijks",rekenwaarden!F11,_xlfn.CONCAT("Periode ",rekenwaarden!E11))),"")</f>
        <v>Periode 9</v>
      </c>
      <c r="F10" s="146">
        <f t="shared" si="0"/>
        <v>46615</v>
      </c>
      <c r="G10" s="146">
        <f>IF(F10="", "", IF(Verloningsperiodiciteit="Vierwekelijks", _xlfn.XLOOKUP(F10,rekenwaarden!$C$3:$C$54,rekenwaarden!$D$3:$D$54,"niet gevonden",-1), _xlfn.XLOOKUP(F10,rekenwaarden!$I$3:$I$54,rekenwaarden!$J$3:$J$54,"niet gevonden",-1)))</f>
        <v>46642</v>
      </c>
      <c r="H10" s="147">
        <f>IF(Tabel135361516181920[[#This Row],[Inkomsten-periode]]="","",DATEDIF(Geboortedatum,Tabel135361516181920[[#This Row],[DatEindTv]],"Y"))</f>
        <v>34</v>
      </c>
      <c r="I10" s="146">
        <f>IF(Tabel135361516181920[[#This Row],[Inkomsten-periode]]="","",IF(Datum_Aanvang_IKV="","",Datum_Aanvang_IKV))</f>
        <v>45658</v>
      </c>
      <c r="J10" s="146" t="str">
        <f>IF(Tabel135361516181920[[#This Row],[Inkomsten-periode]]="","",IF(Datum_Einde_IKV="","",IF(Datum_Einde_IKV&lt;=Tabel135361516181920[[#This Row],[DatEindTv]],Datum_Einde_IKV,"")))</f>
        <v/>
      </c>
      <c r="K10" s="138"/>
      <c r="L10" s="138">
        <v>15</v>
      </c>
      <c r="M10" s="138">
        <v>1</v>
      </c>
      <c r="N10" s="139">
        <v>160</v>
      </c>
      <c r="O10" s="140">
        <f t="shared" si="1"/>
        <v>2880</v>
      </c>
      <c r="P10" s="140">
        <v>0</v>
      </c>
      <c r="Q10" s="140">
        <f>0.08*Tabel135361516181920[[#This Row],[LnSV]]</f>
        <v>230.4</v>
      </c>
      <c r="R10" s="140">
        <v>0</v>
      </c>
      <c r="S10" s="140">
        <v>0</v>
      </c>
      <c r="T10" s="140">
        <f t="shared" si="2"/>
        <v>2880</v>
      </c>
      <c r="U10" s="140"/>
      <c r="V10" s="184">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Row],[OpnAvwb]],0))))</f>
        <v>3110.4</v>
      </c>
      <c r="W10" s="186">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Row],[AantVerlU]],0))))</f>
        <v>160</v>
      </c>
      <c r="X10" s="184"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f>
        <v/>
      </c>
      <c r="Y10" s="186"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f>
        <v/>
      </c>
    </row>
    <row r="11" spans="1:38" s="113" customFormat="1" ht="16.399999999999999" customHeight="1" x14ac:dyDescent="0.25">
      <c r="A11" s="245" t="s">
        <v>65</v>
      </c>
      <c r="B11" s="246"/>
      <c r="C11" s="200"/>
      <c r="D11" s="145">
        <f>IF(OR(Datum_Einde_IKV&gt;G10,Datum_Einde_IKV=""),IF(AND($B$2="Maandelijks", COUNTIF($D$1:D10, 12)=1), "",IF(OR(AND($B$2="Maandelijks", D10=12),AND($B$2="Vierwekelijks", D10=13), D10 = "Periode"), 1, D10+1)),"")</f>
        <v>10</v>
      </c>
      <c r="E11" s="145" t="str">
        <f>IF(OR(Datum_Einde_IKV="",Tabel135361516181920[[#This Row],[DatAanvTv]]&lt;Datum_Einde_IKV),IF(E10="december","",IF(Verloningsperiodiciteit="maandelijks",rekenwaarden!F12,_xlfn.CONCAT("Periode ",rekenwaarden!E12))),"")</f>
        <v>Periode 10</v>
      </c>
      <c r="F11" s="146">
        <f t="shared" si="0"/>
        <v>46643</v>
      </c>
      <c r="G11" s="146">
        <f>IF(F11="", "", IF(Verloningsperiodiciteit="Vierwekelijks", _xlfn.XLOOKUP(F11,rekenwaarden!$C$3:$C$54,rekenwaarden!$D$3:$D$54,"niet gevonden",-1), _xlfn.XLOOKUP(F11,rekenwaarden!$I$3:$I$54,rekenwaarden!$J$3:$J$54,"niet gevonden",-1)))</f>
        <v>46670</v>
      </c>
      <c r="H11" s="147">
        <f>IF(Tabel135361516181920[[#This Row],[Inkomsten-periode]]="","",DATEDIF(Geboortedatum,Tabel135361516181920[[#This Row],[DatEindTv]],"Y"))</f>
        <v>34</v>
      </c>
      <c r="I11" s="146">
        <f>IF(Tabel135361516181920[[#This Row],[Inkomsten-periode]]="","",IF(Datum_Aanvang_IKV="","",Datum_Aanvang_IKV))</f>
        <v>45658</v>
      </c>
      <c r="J11" s="146" t="str">
        <f>IF(Tabel135361516181920[[#This Row],[Inkomsten-periode]]="","",IF(Datum_Einde_IKV="","",IF(Datum_Einde_IKV&lt;=Tabel135361516181920[[#This Row],[DatEindTv]],Datum_Einde_IKV,"")))</f>
        <v/>
      </c>
      <c r="K11" s="141"/>
      <c r="L11" s="141">
        <v>15</v>
      </c>
      <c r="M11" s="141">
        <v>1</v>
      </c>
      <c r="N11" s="142">
        <f>160+5*2</f>
        <v>170</v>
      </c>
      <c r="O11" s="143">
        <f>170*18</f>
        <v>3060</v>
      </c>
      <c r="P11" s="143">
        <v>0</v>
      </c>
      <c r="Q11" s="143">
        <f>0.08*Tabel135361516181920[[#This Row],[LnSV]]</f>
        <v>244.8</v>
      </c>
      <c r="R11" s="143">
        <v>0</v>
      </c>
      <c r="S11" s="143">
        <v>0</v>
      </c>
      <c r="T11" s="143">
        <v>3060</v>
      </c>
      <c r="U11" s="143"/>
      <c r="V11" s="184">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Row],[OpnAvwb]],0))))</f>
        <v>3304.8</v>
      </c>
      <c r="W11" s="186">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Row],[AantVerlU]],0))))</f>
        <v>170</v>
      </c>
      <c r="X11" s="184"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f>
        <v/>
      </c>
      <c r="Y11" s="186"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f>
        <v/>
      </c>
    </row>
    <row r="12" spans="1:38" s="113" customFormat="1" ht="16.399999999999999" customHeight="1" x14ac:dyDescent="0.25">
      <c r="A12" s="249" t="s">
        <v>185</v>
      </c>
      <c r="B12" s="250"/>
      <c r="C12" s="200"/>
      <c r="D12" s="144">
        <f>IF(OR(Datum_Einde_IKV&gt;G11,Datum_Einde_IKV=""),IF(AND($B$2="Maandelijks", COUNTIF($D$1:D11, 12)=1), "",IF(OR(AND($B$2="Maandelijks", D11=12),AND($B$2="Vierwekelijks", D11=13), D11 = "Periode"), 1, D11+1)),"")</f>
        <v>11</v>
      </c>
      <c r="E12" s="145" t="str">
        <f>IF(OR(Datum_Einde_IKV="",Tabel135361516181920[[#This Row],[DatAanvTv]]&lt;Datum_Einde_IKV),IF(E11="december","",IF(Verloningsperiodiciteit="maandelijks",rekenwaarden!F13,_xlfn.CONCAT("Periode ",rekenwaarden!E13))),"")</f>
        <v>Periode 11</v>
      </c>
      <c r="F12" s="146">
        <f t="shared" si="0"/>
        <v>46671</v>
      </c>
      <c r="G12" s="146">
        <f>IF(F12="", "", IF(Verloningsperiodiciteit="Vierwekelijks", _xlfn.XLOOKUP(F12,rekenwaarden!$C$3:$C$54,rekenwaarden!$D$3:$D$54,"niet gevonden",-1), _xlfn.XLOOKUP(F12,rekenwaarden!$I$3:$I$54,rekenwaarden!$J$3:$J$54,"niet gevonden",-1)))</f>
        <v>46698</v>
      </c>
      <c r="H12" s="147">
        <f>IF(Tabel135361516181920[[#This Row],[Inkomsten-periode]]="","",DATEDIF(Geboortedatum,Tabel135361516181920[[#This Row],[DatEindTv]],"Y"))</f>
        <v>34</v>
      </c>
      <c r="I12" s="146">
        <f>IF(Tabel135361516181920[[#This Row],[Inkomsten-periode]]="","",IF(Datum_Aanvang_IKV="","",Datum_Aanvang_IKV))</f>
        <v>45658</v>
      </c>
      <c r="J12" s="146" t="str">
        <f>IF(Tabel135361516181920[[#This Row],[Inkomsten-periode]]="","",IF(Datum_Einde_IKV="","",IF(Datum_Einde_IKV&lt;=Tabel135361516181920[[#This Row],[DatEindTv]],Datum_Einde_IKV,"")))</f>
        <v/>
      </c>
      <c r="K12" s="138"/>
      <c r="L12" s="138">
        <v>15</v>
      </c>
      <c r="M12" s="138">
        <v>1</v>
      </c>
      <c r="N12" s="139">
        <f>160+4*5*2</f>
        <v>200</v>
      </c>
      <c r="O12" s="140">
        <f>200*18</f>
        <v>3600</v>
      </c>
      <c r="P12" s="140">
        <v>0</v>
      </c>
      <c r="Q12" s="140">
        <f>0.08*Tabel135361516181920[[#This Row],[LnSV]]</f>
        <v>288</v>
      </c>
      <c r="R12" s="140">
        <v>0</v>
      </c>
      <c r="S12" s="140">
        <v>0</v>
      </c>
      <c r="T12" s="140">
        <v>3600</v>
      </c>
      <c r="U12" s="140"/>
      <c r="V12" s="184">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Row],[OpnAvwb]],0))))</f>
        <v>3888</v>
      </c>
      <c r="W12" s="186">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Row],[AantVerlU]],0))))</f>
        <v>200</v>
      </c>
      <c r="X12" s="184"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f>
        <v/>
      </c>
      <c r="Y12" s="186"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f>
        <v/>
      </c>
    </row>
    <row r="13" spans="1:38" s="113" customFormat="1" ht="16.399999999999999" customHeight="1" x14ac:dyDescent="0.25">
      <c r="A13" s="249"/>
      <c r="B13" s="250"/>
      <c r="C13" s="200"/>
      <c r="D13" s="145">
        <f>IF(OR(Datum_Einde_IKV&gt;G12,Datum_Einde_IKV=""),IF(AND($B$2="Maandelijks", COUNTIF($D$1:D12, 12)=1), "",IF(OR(AND($B$2="Maandelijks", D12=12),AND($B$2="Vierwekelijks", D12=13), D12 = "Periode"), 1, D12+1)),"")</f>
        <v>12</v>
      </c>
      <c r="E13" s="145" t="str">
        <f>IF(OR(Datum_Einde_IKV="",Tabel135361516181920[[#This Row],[DatAanvTv]]&lt;Datum_Einde_IKV),IF(E12="december","",IF(Verloningsperiodiciteit="maandelijks",rekenwaarden!F14,_xlfn.CONCAT("Periode ",rekenwaarden!E14))),"")</f>
        <v>Periode 12</v>
      </c>
      <c r="F13" s="146">
        <f t="shared" si="0"/>
        <v>46699</v>
      </c>
      <c r="G13" s="146">
        <f>IF(F13="", "", IF(Verloningsperiodiciteit="Vierwekelijks", _xlfn.XLOOKUP(F13,rekenwaarden!$C$3:$C$54,rekenwaarden!$D$3:$D$54,"niet gevonden",-1), _xlfn.XLOOKUP(F13,rekenwaarden!$I$3:$I$54,rekenwaarden!$J$3:$J$54,"niet gevonden",-1)))</f>
        <v>46726</v>
      </c>
      <c r="H13" s="147">
        <f>IF(Tabel135361516181920[[#This Row],[Inkomsten-periode]]="","",DATEDIF(Geboortedatum,Tabel135361516181920[[#This Row],[DatEindTv]],"Y"))</f>
        <v>34</v>
      </c>
      <c r="I13" s="146">
        <f>IF(Tabel135361516181920[[#This Row],[Inkomsten-periode]]="","",IF(Datum_Aanvang_IKV="","",Datum_Aanvang_IKV))</f>
        <v>45658</v>
      </c>
      <c r="J13" s="146" t="str">
        <f>IF(Tabel135361516181920[[#This Row],[Inkomsten-periode]]="","",IF(Datum_Einde_IKV="","",IF(Datum_Einde_IKV&lt;=Tabel135361516181920[[#This Row],[DatEindTv]],Datum_Einde_IKV,"")))</f>
        <v/>
      </c>
      <c r="K13" s="141"/>
      <c r="L13" s="141">
        <v>15</v>
      </c>
      <c r="M13" s="141">
        <v>1</v>
      </c>
      <c r="N13" s="142">
        <f>160+3*5*2</f>
        <v>190</v>
      </c>
      <c r="O13" s="143">
        <f>190*18</f>
        <v>3420</v>
      </c>
      <c r="P13" s="143">
        <v>0</v>
      </c>
      <c r="Q13" s="143">
        <f>0.08*Tabel135361516181920[[#This Row],[LnSV]]</f>
        <v>273.60000000000002</v>
      </c>
      <c r="R13" s="143">
        <v>0</v>
      </c>
      <c r="S13" s="143">
        <v>0</v>
      </c>
      <c r="T13" s="143">
        <v>3450</v>
      </c>
      <c r="U13" s="143"/>
      <c r="V13" s="184">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Row],[OpnAvwb]],0))))</f>
        <v>3723.6</v>
      </c>
      <c r="W13" s="186">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Row],[AantVerlU]],0))))</f>
        <v>190</v>
      </c>
      <c r="X13" s="184"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f>
        <v/>
      </c>
      <c r="Y13" s="186"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f>
        <v/>
      </c>
    </row>
    <row r="14" spans="1:38" s="113" customFormat="1" ht="16.399999999999999" customHeight="1" x14ac:dyDescent="0.25">
      <c r="A14" s="249"/>
      <c r="B14" s="250"/>
      <c r="C14" s="200"/>
      <c r="D14" s="144">
        <f>IF(OR(Datum_Einde_IKV&gt;G13,Datum_Einde_IKV=""),IF(AND($B$2="Maandelijks", COUNTIF($D$1:D13, 12)=1), "",IF(OR(AND($B$2="Maandelijks", D13=12),AND($B$2="Vierwekelijks", D13=13), D13 = "Periode"), 1, D13+1)),"")</f>
        <v>13</v>
      </c>
      <c r="E14" s="145" t="str">
        <f>IF(OR(Datum_Einde_IKV="",Tabel135361516181920[[#This Row],[DatAanvTv]]&lt;Datum_Einde_IKV),IF(E13="december","",IF(Verloningsperiodiciteit="maandelijks",rekenwaarden!F15,_xlfn.CONCAT("Periode ",rekenwaarden!E15))),"")</f>
        <v>Periode 13</v>
      </c>
      <c r="F14" s="146">
        <f t="shared" si="0"/>
        <v>46727</v>
      </c>
      <c r="G14" s="146">
        <f>IF(F14="", "", IF(Verloningsperiodiciteit="Vierwekelijks", _xlfn.XLOOKUP(F14,rekenwaarden!$C$3:$C$54,rekenwaarden!$D$3:$D$54,"niet gevonden",-1), _xlfn.XLOOKUP(F14,rekenwaarden!$I$3:$I$54,rekenwaarden!$J$3:$J$54,"niet gevonden",-1)))</f>
        <v>46752</v>
      </c>
      <c r="H14" s="147">
        <f>IF(Tabel135361516181920[[#This Row],[Inkomsten-periode]]="","",DATEDIF(Geboortedatum,Tabel135361516181920[[#This Row],[DatEindTv]],"Y"))</f>
        <v>34</v>
      </c>
      <c r="I14" s="146">
        <f>IF(Tabel135361516181920[[#This Row],[Inkomsten-periode]]="","",IF(Datum_Aanvang_IKV="","",Datum_Aanvang_IKV))</f>
        <v>45658</v>
      </c>
      <c r="J14" s="146" t="str">
        <f>IF(Tabel135361516181920[[#This Row],[Inkomsten-periode]]="","",IF(Datum_Einde_IKV="","",IF(Datum_Einde_IKV&lt;=Tabel135361516181920[[#This Row],[DatEindTv]],Datum_Einde_IKV,"")))</f>
        <v/>
      </c>
      <c r="K14" s="138"/>
      <c r="L14" s="138">
        <v>15</v>
      </c>
      <c r="M14" s="138">
        <v>1</v>
      </c>
      <c r="N14" s="139">
        <v>160</v>
      </c>
      <c r="O14" s="140">
        <v>6000</v>
      </c>
      <c r="P14" s="140">
        <f>SUM(Tabel135361516181920[OpgRchtVakBsl])</f>
        <v>3110.4000000000005</v>
      </c>
      <c r="Q14" s="140">
        <v>230.4</v>
      </c>
      <c r="R14" s="140">
        <v>0</v>
      </c>
      <c r="S14" s="140">
        <v>0</v>
      </c>
      <c r="T14" s="140">
        <v>6000</v>
      </c>
      <c r="U14" s="140"/>
      <c r="V14" s="184">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Row],[OpnAvwb]],0))))</f>
        <v>3119.9999999999991</v>
      </c>
      <c r="W14" s="187">
        <f>IF(Tabel135361516181920[[#This Row],[Inkomsten-periode]]="","",IF(OR(Tabel135361516181920[[#This Row],[Leeftijd]]&lt;18,Tabel135361516181920[[#This Row],[Leeftijd]]&gt;=68),0,IF(Tabel135361516181920[[#This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Row],[AantVerlU]],0))))</f>
        <v>160</v>
      </c>
      <c r="X14" s="184"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Row],[LnInGld]]+Tabel135361516181920[[#This Row],[OpgRchtVakBsl]]-Tabel135361516181920[[#This Row],[VakBsl]]+Tabel135361516181920[[#This Row],[OpbAvwb]]-Tabel135361516181920[[#This Row],[OpnAvwb]],"")),"")</f>
        <v/>
      </c>
      <c r="Y14" s="187" t="str">
        <f>IF(Tabel135361516181920[[#This Row],[Inkomsten-periode]]="",IF(Tabel135361516181920[[#This Row],[CdRdnEindArbov]]=33,0,IF(AND(OR(Tabel135361516181920[[#This Row],[SrtIV]]=13,Tabel135361516181920[[#This Row],[SrtIV]]=15,Tabel135361516181920[[#This Row],[SrtIV]]=31),OR(Tabel135361516181920[[#This Row],[CdAard]]=1,Tabel135361516181920[[#This Row],[CdAard]]=11,Tabel135361516181920[[#This Row],[CdAard]]=82,Tabel135361516181920[[#This Row],[CdAard]]=83)),Tabel135361516181920[[#This Row],[AantVerlU]],"")),"")</f>
        <v/>
      </c>
    </row>
    <row r="15" spans="1:38" ht="16.399999999999999" customHeight="1" thickBot="1" x14ac:dyDescent="0.3">
      <c r="A15" s="249"/>
      <c r="B15" s="250"/>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6.399999999999999" customHeight="1" x14ac:dyDescent="0.35">
      <c r="A16" s="249"/>
      <c r="B16" s="250"/>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249"/>
      <c r="B17" s="250"/>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249"/>
      <c r="B18" s="250"/>
      <c r="C18" s="200"/>
      <c r="D18" s="163">
        <f>D2</f>
        <v>1</v>
      </c>
      <c r="E18" s="150" t="str">
        <f>E2</f>
        <v>Periode 1</v>
      </c>
      <c r="F18" s="151">
        <f>F2</f>
        <v>46388</v>
      </c>
      <c r="G18" s="151">
        <f>G2</f>
        <v>46418</v>
      </c>
      <c r="H18" s="188">
        <f t="shared" ref="H18:H30" si="3">IF(AND(W2="",Y2=""),"",MAX(W2,Y2))</f>
        <v>160</v>
      </c>
      <c r="I18" s="191">
        <f t="shared" ref="I18:I30" si="4">IF(AND(V2="",X2=""),"",MAX(V2,X2))</f>
        <v>3110.4</v>
      </c>
      <c r="J18" s="188">
        <f>IF($E18="","",IF($E19="",SUM(H18:H$30),H18))</f>
        <v>160</v>
      </c>
      <c r="K18" s="191">
        <f>IF($E18="","",IF($E19="",SUM(I18:I$30),I18))</f>
        <v>3110.4</v>
      </c>
      <c r="L18" s="152">
        <f t="shared" ref="L18:L30" si="5">IF(E18="","",Normuren_per_week)</f>
        <v>40</v>
      </c>
      <c r="M18" s="151">
        <f t="shared" ref="M18:M30" si="6">IF(OR(MAX($B$4, F18)&gt;G18, MIN(Datum_Einde_IKV, G18)&lt;F18),"", MAX(Datum_Aanvang_IKV, F18))</f>
        <v>46388</v>
      </c>
      <c r="N18" s="151">
        <f t="shared" ref="N18:N30" si="7">IF(OR(MAX(Datum_Aanvang_IKV, F18)&gt;G18, MIN(Datum_Einde_IKV, G18)&lt;F18),"", MIN(Datum_Einde_IKV, G18))</f>
        <v>46418</v>
      </c>
      <c r="O18" s="150">
        <f>IF(M18="","",N18-M18+1)</f>
        <v>31</v>
      </c>
      <c r="P18" s="153">
        <f t="shared" ref="P18:P30" si="8">IF(M18="", "",  O18 / (G18-F18+1))</f>
        <v>1</v>
      </c>
      <c r="Q18" s="154">
        <f t="shared" ref="Q18:Q30" si="9">IF(M18="","",P18/IF(Verloningsperiodiciteit= "Maandelijks",12,13))</f>
        <v>7.6923076923076927E-2</v>
      </c>
      <c r="R18" s="155">
        <f t="shared" ref="R18:R30" si="10">IF(M18="","",L18*52/IF(Verloningsperiodiciteit="Maandelijks",12,13)*P18)</f>
        <v>160</v>
      </c>
      <c r="S18" s="156">
        <f t="shared" ref="S18:S30" si="11">IF(M18="","",MIN(K18+IF(AND(D18&lt;&gt;1, S17&lt;&gt;""),S17,0)))</f>
        <v>3110.4</v>
      </c>
      <c r="T18" s="157">
        <f t="shared" ref="T18:T30" si="12">IF(M18="","",J18+IF(AND(D18&lt;&gt;1, T17&lt;&gt;""),T17,0))</f>
        <v>160</v>
      </c>
      <c r="U18" s="157">
        <f t="shared" ref="U18:U30" si="13">IF(M18="","",R18+IF(AND(D18&lt;&gt;1, U17&lt;&gt;""),U17,0))</f>
        <v>160</v>
      </c>
      <c r="V18" s="158">
        <f>IF(M18="",0,T18/U18)</f>
        <v>1</v>
      </c>
      <c r="W18" s="159">
        <f>IF(M18="","",VLOOKUP($B$6,rekenwaarden!M$8:N$12,2))</f>
        <v>9.1199999999999992</v>
      </c>
      <c r="X18" s="160">
        <f t="shared" ref="X18:X30" si="14">IF(M18="","",W18*J18)</f>
        <v>1459.1999999999998</v>
      </c>
      <c r="Y18" s="160">
        <f t="shared" ref="Y18:Y30" si="15">IF(M18="","",X18+IF(AND(D18&lt;&gt;1, Y17&lt;&gt;""),Y17,0))</f>
        <v>1459.1999999999998</v>
      </c>
      <c r="Z18" s="160">
        <f>IF(M18="","", VLOOKUP(B$6,rekenwaarden!M$8:T$12,3)*Q18)</f>
        <v>6108.3846153846162</v>
      </c>
      <c r="AA18" s="160">
        <f t="shared" ref="AA18:AA30" si="16">IF(M18="","",Z18+IF(AND(D18&lt;&gt;1, AA17&lt;&gt;""),AA17,0))</f>
        <v>6108.3846153846162</v>
      </c>
      <c r="AB18" s="160">
        <f>IF(M18="","", VLOOKUP($B$6,rekenwaarden!M$8:T$12,4)*Q18)</f>
        <v>10600</v>
      </c>
      <c r="AC18" s="160">
        <f t="shared" ref="AC18:AC30" si="17">IF(M18="","",AB18+IF(AND(D18&lt;&gt;1, AC17&lt;&gt;""),AC17,0))</f>
        <v>10600</v>
      </c>
      <c r="AD18" s="160">
        <f t="shared" ref="AD18:AD30" si="18">IF(M18="", "", MAX(MIN(S18, AA18*MIN(1, V18))-Y18, 0))</f>
        <v>1651.2000000000003</v>
      </c>
      <c r="AE18" s="160">
        <f t="shared" ref="AE18:AE30" si="19">IF(M18="","",AD18-IF(AND(D18&lt;&gt;1, AD17&lt;&gt;""),AD17,0))</f>
        <v>1651.2000000000003</v>
      </c>
      <c r="AF18" s="160">
        <f>IF(OR($B$8="ONWAAR", M18=""), "", MAX(MIN(S18, AC18*MIN(1, V18))-AA18*MIN(1, V18), 0))</f>
        <v>0</v>
      </c>
      <c r="AG18" s="160">
        <f t="shared" ref="AG18:AG30" si="20">IF(OR(M18="", AF18=""),"",AF18-IF(AND(D18&lt;&gt;1, AF17&lt;&gt;""),AF17,0))</f>
        <v>0</v>
      </c>
      <c r="AH18" s="161">
        <f t="shared" ref="AH18:AH30" ca="1" si="21">IF($M18="", "", AE18*INDIRECT(CONCATENATE("premiepct", YEAR(F18))))</f>
        <v>490.40640000000008</v>
      </c>
      <c r="AI18" s="161">
        <f ca="1">IF(OR($F$4=FALSE, M18=""), "", AG18*INDIRECT(CONCATENATE("premiepct", YEAR($F18))))</f>
        <v>0</v>
      </c>
      <c r="AJ18" s="161"/>
      <c r="AK18" s="161"/>
      <c r="AL18" s="164">
        <f ca="1">IF(M18="","",SUM(AH18:AK18))</f>
        <v>490.40640000000008</v>
      </c>
    </row>
    <row r="19" spans="1:38" s="113" customFormat="1" ht="15.65" customHeight="1" x14ac:dyDescent="0.25">
      <c r="A19" s="249"/>
      <c r="B19" s="250"/>
      <c r="C19" s="200"/>
      <c r="D19" s="163">
        <f t="shared" ref="D19:G30" si="22">D3</f>
        <v>2</v>
      </c>
      <c r="E19" s="150" t="str">
        <f t="shared" si="22"/>
        <v>Periode 2</v>
      </c>
      <c r="F19" s="151">
        <f t="shared" si="22"/>
        <v>46419</v>
      </c>
      <c r="G19" s="151">
        <f t="shared" si="22"/>
        <v>46446</v>
      </c>
      <c r="H19" s="189">
        <f t="shared" si="3"/>
        <v>160</v>
      </c>
      <c r="I19" s="192">
        <f t="shared" si="4"/>
        <v>3110.4</v>
      </c>
      <c r="J19" s="189">
        <f>IF($E19="","",IF($E20="",SUM(H19:H$30),H19))</f>
        <v>160</v>
      </c>
      <c r="K19" s="192">
        <f>IF($E19="","",IF($E20="",SUM(I19:I$30),I19))</f>
        <v>3110.4</v>
      </c>
      <c r="L19" s="152">
        <f t="shared" si="5"/>
        <v>40</v>
      </c>
      <c r="M19" s="151">
        <f t="shared" si="6"/>
        <v>46419</v>
      </c>
      <c r="N19" s="151">
        <f t="shared" si="7"/>
        <v>46446</v>
      </c>
      <c r="O19" s="150">
        <f t="shared" ref="O19:O30" si="23">IF(M19="","",N19-M19+1)</f>
        <v>28</v>
      </c>
      <c r="P19" s="153">
        <f t="shared" si="8"/>
        <v>1</v>
      </c>
      <c r="Q19" s="154">
        <f t="shared" si="9"/>
        <v>7.6923076923076927E-2</v>
      </c>
      <c r="R19" s="155">
        <f t="shared" si="10"/>
        <v>160</v>
      </c>
      <c r="S19" s="156">
        <f t="shared" si="11"/>
        <v>6220.8</v>
      </c>
      <c r="T19" s="157">
        <f t="shared" si="12"/>
        <v>320</v>
      </c>
      <c r="U19" s="157">
        <f t="shared" si="13"/>
        <v>320</v>
      </c>
      <c r="V19" s="158">
        <f t="shared" ref="V19:V30" si="24">IF(M19="","",T19/U19)</f>
        <v>1</v>
      </c>
      <c r="W19" s="159">
        <f>IF(M19="","",VLOOKUP($B$6,rekenwaarden!M$8:N$12,2))</f>
        <v>9.1199999999999992</v>
      </c>
      <c r="X19" s="160">
        <f t="shared" si="14"/>
        <v>1459.1999999999998</v>
      </c>
      <c r="Y19" s="160">
        <f t="shared" si="15"/>
        <v>2918.3999999999996</v>
      </c>
      <c r="Z19" s="160">
        <f>IF(M19="","", VLOOKUP(B$6,rekenwaarden!M$8:T$12,3)*Q19)</f>
        <v>6108.3846153846162</v>
      </c>
      <c r="AA19" s="160">
        <f t="shared" si="16"/>
        <v>12216.769230769232</v>
      </c>
      <c r="AB19" s="160">
        <f>IF(M19="","", VLOOKUP($B$6,rekenwaarden!M$8:T$12,4)*Q19)</f>
        <v>10600</v>
      </c>
      <c r="AC19" s="160">
        <f t="shared" si="17"/>
        <v>21200</v>
      </c>
      <c r="AD19" s="160">
        <f t="shared" si="18"/>
        <v>3302.4000000000005</v>
      </c>
      <c r="AE19" s="160">
        <f t="shared" si="19"/>
        <v>1651.2000000000003</v>
      </c>
      <c r="AF19" s="160">
        <f t="shared" ref="AF19:AF30" si="25">IF(OR($B$8="ONWAAR", M19=""), "", MAX(MIN(S19, AC19*MIN(1, V19))-AA19*MIN(1, V19), 0))</f>
        <v>0</v>
      </c>
      <c r="AG19" s="160">
        <f t="shared" si="20"/>
        <v>0</v>
      </c>
      <c r="AH19" s="161">
        <f t="shared" ca="1" si="21"/>
        <v>490.40640000000008</v>
      </c>
      <c r="AI19" s="161">
        <f t="shared" ref="AI19:AI30" ca="1" si="26">IF(OR($F$4=FALSE, M19=""), "", AG19*INDIRECT(CONCATENATE("premiepct", YEAR($F19))))</f>
        <v>0</v>
      </c>
      <c r="AJ19" s="161"/>
      <c r="AK19" s="161"/>
      <c r="AL19" s="164">
        <f t="shared" ref="AL19:AL30" ca="1" si="27">IF(M19="","",SUM(AH19:AK19))</f>
        <v>490.40640000000008</v>
      </c>
    </row>
    <row r="20" spans="1:38" s="113" customFormat="1" ht="15.65" customHeight="1" x14ac:dyDescent="0.25">
      <c r="A20" s="249"/>
      <c r="B20" s="250"/>
      <c r="C20" s="200"/>
      <c r="D20" s="163">
        <f t="shared" si="22"/>
        <v>3</v>
      </c>
      <c r="E20" s="150" t="str">
        <f t="shared" si="22"/>
        <v>Periode 3</v>
      </c>
      <c r="F20" s="151">
        <f t="shared" si="22"/>
        <v>46447</v>
      </c>
      <c r="G20" s="151">
        <f t="shared" si="22"/>
        <v>46474</v>
      </c>
      <c r="H20" s="188">
        <f t="shared" si="3"/>
        <v>160</v>
      </c>
      <c r="I20" s="191">
        <f t="shared" si="4"/>
        <v>3110.4</v>
      </c>
      <c r="J20" s="188">
        <f>IF($E20="","",IF($E21="",SUM(H20:H$30),H20))</f>
        <v>160</v>
      </c>
      <c r="K20" s="191">
        <f>IF($E20="","",IF($E21="",SUM(I20:I$30),I20))</f>
        <v>3110.4</v>
      </c>
      <c r="L20" s="152">
        <f t="shared" si="5"/>
        <v>40</v>
      </c>
      <c r="M20" s="151">
        <f t="shared" si="6"/>
        <v>46447</v>
      </c>
      <c r="N20" s="151">
        <f t="shared" si="7"/>
        <v>46474</v>
      </c>
      <c r="O20" s="150">
        <f t="shared" si="23"/>
        <v>28</v>
      </c>
      <c r="P20" s="153">
        <f t="shared" si="8"/>
        <v>1</v>
      </c>
      <c r="Q20" s="154">
        <f t="shared" si="9"/>
        <v>7.6923076923076927E-2</v>
      </c>
      <c r="R20" s="155">
        <f t="shared" si="10"/>
        <v>160</v>
      </c>
      <c r="S20" s="156">
        <f t="shared" si="11"/>
        <v>9331.2000000000007</v>
      </c>
      <c r="T20" s="157">
        <f t="shared" si="12"/>
        <v>480</v>
      </c>
      <c r="U20" s="157">
        <f t="shared" si="13"/>
        <v>480</v>
      </c>
      <c r="V20" s="158">
        <f t="shared" si="24"/>
        <v>1</v>
      </c>
      <c r="W20" s="159">
        <f>IF(M20="","",VLOOKUP($B$6,rekenwaarden!M$8:N$12,2))</f>
        <v>9.1199999999999992</v>
      </c>
      <c r="X20" s="160">
        <f t="shared" si="14"/>
        <v>1459.1999999999998</v>
      </c>
      <c r="Y20" s="160">
        <f t="shared" si="15"/>
        <v>4377.5999999999995</v>
      </c>
      <c r="Z20" s="160">
        <f>IF(M20="","", VLOOKUP(B$6,rekenwaarden!M$8:T$12,3)*Q20)</f>
        <v>6108.3846153846162</v>
      </c>
      <c r="AA20" s="160">
        <f t="shared" si="16"/>
        <v>18325.153846153848</v>
      </c>
      <c r="AB20" s="160">
        <f>IF(M20="","", VLOOKUP($B$6,rekenwaarden!M$8:T$12,4)*Q20)</f>
        <v>10600</v>
      </c>
      <c r="AC20" s="160">
        <f t="shared" si="17"/>
        <v>31800</v>
      </c>
      <c r="AD20" s="160">
        <f t="shared" si="18"/>
        <v>4953.6000000000013</v>
      </c>
      <c r="AE20" s="160">
        <f t="shared" si="19"/>
        <v>1651.2000000000007</v>
      </c>
      <c r="AF20" s="160">
        <f t="shared" si="25"/>
        <v>0</v>
      </c>
      <c r="AG20" s="160">
        <f t="shared" si="20"/>
        <v>0</v>
      </c>
      <c r="AH20" s="161">
        <f t="shared" ca="1" si="21"/>
        <v>490.40640000000019</v>
      </c>
      <c r="AI20" s="161">
        <f t="shared" ca="1" si="26"/>
        <v>0</v>
      </c>
      <c r="AJ20" s="161"/>
      <c r="AK20" s="161"/>
      <c r="AL20" s="164">
        <f t="shared" ca="1" si="27"/>
        <v>490.40640000000019</v>
      </c>
    </row>
    <row r="21" spans="1:38" s="113" customFormat="1" ht="15.65" customHeight="1" x14ac:dyDescent="0.25">
      <c r="A21" s="249"/>
      <c r="B21" s="250"/>
      <c r="C21" s="200"/>
      <c r="D21" s="163">
        <f t="shared" si="22"/>
        <v>4</v>
      </c>
      <c r="E21" s="150" t="str">
        <f t="shared" si="22"/>
        <v>Periode 4</v>
      </c>
      <c r="F21" s="151">
        <f t="shared" si="22"/>
        <v>46475</v>
      </c>
      <c r="G21" s="151">
        <f t="shared" si="22"/>
        <v>46502</v>
      </c>
      <c r="H21" s="189">
        <f t="shared" si="3"/>
        <v>160</v>
      </c>
      <c r="I21" s="192">
        <f t="shared" si="4"/>
        <v>3110.4</v>
      </c>
      <c r="J21" s="189">
        <f>IF($E21="","",IF($E22="",SUM(H21:H$30),H21))</f>
        <v>160</v>
      </c>
      <c r="K21" s="192">
        <f>IF($E21="","",IF($E22="",SUM(I21:I$30),I21))</f>
        <v>3110.4</v>
      </c>
      <c r="L21" s="152">
        <f t="shared" si="5"/>
        <v>40</v>
      </c>
      <c r="M21" s="151">
        <f t="shared" si="6"/>
        <v>46475</v>
      </c>
      <c r="N21" s="151">
        <f t="shared" si="7"/>
        <v>46502</v>
      </c>
      <c r="O21" s="150">
        <f t="shared" si="23"/>
        <v>28</v>
      </c>
      <c r="P21" s="153">
        <f t="shared" si="8"/>
        <v>1</v>
      </c>
      <c r="Q21" s="154">
        <f t="shared" si="9"/>
        <v>7.6923076923076927E-2</v>
      </c>
      <c r="R21" s="155">
        <f t="shared" si="10"/>
        <v>160</v>
      </c>
      <c r="S21" s="156">
        <f t="shared" si="11"/>
        <v>12441.6</v>
      </c>
      <c r="T21" s="157">
        <f t="shared" si="12"/>
        <v>640</v>
      </c>
      <c r="U21" s="157">
        <f t="shared" si="13"/>
        <v>640</v>
      </c>
      <c r="V21" s="158">
        <f t="shared" si="24"/>
        <v>1</v>
      </c>
      <c r="W21" s="159">
        <f>IF(M21="","",VLOOKUP($B$6,rekenwaarden!M$8:N$12,2))</f>
        <v>9.1199999999999992</v>
      </c>
      <c r="X21" s="160">
        <f t="shared" si="14"/>
        <v>1459.1999999999998</v>
      </c>
      <c r="Y21" s="160">
        <f t="shared" si="15"/>
        <v>5836.7999999999993</v>
      </c>
      <c r="Z21" s="160">
        <f>IF(M21="","", VLOOKUP(B$6,rekenwaarden!M$8:T$12,3)*Q21)</f>
        <v>6108.3846153846162</v>
      </c>
      <c r="AA21" s="160">
        <f t="shared" si="16"/>
        <v>24433.538461538465</v>
      </c>
      <c r="AB21" s="160">
        <f>IF(M21="","", VLOOKUP($B$6,rekenwaarden!M$8:T$12,4)*Q21)</f>
        <v>10600</v>
      </c>
      <c r="AC21" s="160">
        <f t="shared" si="17"/>
        <v>42400</v>
      </c>
      <c r="AD21" s="160">
        <f t="shared" si="18"/>
        <v>6604.8000000000011</v>
      </c>
      <c r="AE21" s="160">
        <f t="shared" si="19"/>
        <v>1651.1999999999998</v>
      </c>
      <c r="AF21" s="160">
        <f t="shared" si="25"/>
        <v>0</v>
      </c>
      <c r="AG21" s="160">
        <f t="shared" si="20"/>
        <v>0</v>
      </c>
      <c r="AH21" s="161">
        <f t="shared" ca="1" si="21"/>
        <v>490.40639999999991</v>
      </c>
      <c r="AI21" s="161">
        <f t="shared" ca="1" si="26"/>
        <v>0</v>
      </c>
      <c r="AJ21" s="161"/>
      <c r="AK21" s="161"/>
      <c r="AL21" s="164">
        <f t="shared" ca="1" si="27"/>
        <v>490.40639999999991</v>
      </c>
    </row>
    <row r="22" spans="1:38" s="113" customFormat="1" ht="15.65" customHeight="1" x14ac:dyDescent="0.25">
      <c r="A22" s="249"/>
      <c r="B22" s="250"/>
      <c r="C22" s="200"/>
      <c r="D22" s="163">
        <f t="shared" si="22"/>
        <v>5</v>
      </c>
      <c r="E22" s="150" t="str">
        <f t="shared" si="22"/>
        <v>Periode 5</v>
      </c>
      <c r="F22" s="151">
        <f t="shared" si="22"/>
        <v>46503</v>
      </c>
      <c r="G22" s="151">
        <f t="shared" si="22"/>
        <v>46530</v>
      </c>
      <c r="H22" s="188">
        <f t="shared" si="3"/>
        <v>160</v>
      </c>
      <c r="I22" s="191">
        <f t="shared" si="4"/>
        <v>3110.4</v>
      </c>
      <c r="J22" s="188">
        <f>IF($E22="","",IF($E23="",SUM(H22:H$30),H22))</f>
        <v>160</v>
      </c>
      <c r="K22" s="191">
        <f>IF($E22="","",IF($E23="",SUM(I22:I$30),I22))</f>
        <v>3110.4</v>
      </c>
      <c r="L22" s="152">
        <f t="shared" si="5"/>
        <v>40</v>
      </c>
      <c r="M22" s="151">
        <f t="shared" si="6"/>
        <v>46503</v>
      </c>
      <c r="N22" s="151">
        <f t="shared" si="7"/>
        <v>46530</v>
      </c>
      <c r="O22" s="150">
        <f t="shared" si="23"/>
        <v>28</v>
      </c>
      <c r="P22" s="153">
        <f t="shared" si="8"/>
        <v>1</v>
      </c>
      <c r="Q22" s="154">
        <f t="shared" si="9"/>
        <v>7.6923076923076927E-2</v>
      </c>
      <c r="R22" s="155">
        <f t="shared" si="10"/>
        <v>160</v>
      </c>
      <c r="S22" s="156">
        <f t="shared" si="11"/>
        <v>15552</v>
      </c>
      <c r="T22" s="157">
        <f t="shared" si="12"/>
        <v>800</v>
      </c>
      <c r="U22" s="157">
        <f t="shared" si="13"/>
        <v>800</v>
      </c>
      <c r="V22" s="158">
        <f t="shared" si="24"/>
        <v>1</v>
      </c>
      <c r="W22" s="159">
        <f>IF(M22="","",VLOOKUP($B$6,rekenwaarden!M$8:N$12,2))</f>
        <v>9.1199999999999992</v>
      </c>
      <c r="X22" s="160">
        <f t="shared" si="14"/>
        <v>1459.1999999999998</v>
      </c>
      <c r="Y22" s="160">
        <f t="shared" si="15"/>
        <v>7295.9999999999991</v>
      </c>
      <c r="Z22" s="160">
        <f>IF(M22="","", VLOOKUP(B$6,rekenwaarden!M$8:T$12,3)*Q22)</f>
        <v>6108.3846153846162</v>
      </c>
      <c r="AA22" s="160">
        <f t="shared" si="16"/>
        <v>30541.923076923082</v>
      </c>
      <c r="AB22" s="160">
        <f>IF(M22="","", VLOOKUP($B$6,rekenwaarden!M$8:T$12,4)*Q22)</f>
        <v>10600</v>
      </c>
      <c r="AC22" s="160">
        <f t="shared" si="17"/>
        <v>53000</v>
      </c>
      <c r="AD22" s="160">
        <f t="shared" si="18"/>
        <v>8256</v>
      </c>
      <c r="AE22" s="160">
        <f t="shared" si="19"/>
        <v>1651.1999999999989</v>
      </c>
      <c r="AF22" s="160">
        <f t="shared" si="25"/>
        <v>0</v>
      </c>
      <c r="AG22" s="160">
        <f t="shared" si="20"/>
        <v>0</v>
      </c>
      <c r="AH22" s="161">
        <f t="shared" ca="1" si="21"/>
        <v>490.40639999999968</v>
      </c>
      <c r="AI22" s="161">
        <f t="shared" ca="1" si="26"/>
        <v>0</v>
      </c>
      <c r="AJ22" s="161"/>
      <c r="AK22" s="161"/>
      <c r="AL22" s="164">
        <f t="shared" ca="1" si="27"/>
        <v>490.40639999999968</v>
      </c>
    </row>
    <row r="23" spans="1:38" s="113" customFormat="1" ht="15.65" customHeight="1" x14ac:dyDescent="0.25">
      <c r="A23" s="249"/>
      <c r="B23" s="250"/>
      <c r="C23" s="200"/>
      <c r="D23" s="163">
        <f t="shared" si="22"/>
        <v>6</v>
      </c>
      <c r="E23" s="150" t="str">
        <f t="shared" si="22"/>
        <v>Periode 6</v>
      </c>
      <c r="F23" s="151">
        <f t="shared" si="22"/>
        <v>46531</v>
      </c>
      <c r="G23" s="151">
        <f t="shared" si="22"/>
        <v>46558</v>
      </c>
      <c r="H23" s="189">
        <f t="shared" si="3"/>
        <v>160</v>
      </c>
      <c r="I23" s="192">
        <f t="shared" si="4"/>
        <v>3110.4</v>
      </c>
      <c r="J23" s="189">
        <f>IF($E23="","",IF($E24="",SUM(H23:H$30),H23))</f>
        <v>160</v>
      </c>
      <c r="K23" s="192">
        <f>IF($E23="","",IF($E24="",SUM(I23:I$30),I23))</f>
        <v>3110.4</v>
      </c>
      <c r="L23" s="152">
        <f t="shared" si="5"/>
        <v>40</v>
      </c>
      <c r="M23" s="151">
        <f t="shared" si="6"/>
        <v>46531</v>
      </c>
      <c r="N23" s="151">
        <f t="shared" si="7"/>
        <v>46558</v>
      </c>
      <c r="O23" s="150">
        <f t="shared" si="23"/>
        <v>28</v>
      </c>
      <c r="P23" s="153">
        <f t="shared" si="8"/>
        <v>1</v>
      </c>
      <c r="Q23" s="154">
        <f t="shared" si="9"/>
        <v>7.6923076923076927E-2</v>
      </c>
      <c r="R23" s="155">
        <f t="shared" si="10"/>
        <v>160</v>
      </c>
      <c r="S23" s="156">
        <f t="shared" si="11"/>
        <v>18662.400000000001</v>
      </c>
      <c r="T23" s="157">
        <f t="shared" si="12"/>
        <v>960</v>
      </c>
      <c r="U23" s="157">
        <f t="shared" si="13"/>
        <v>960</v>
      </c>
      <c r="V23" s="158">
        <f t="shared" si="24"/>
        <v>1</v>
      </c>
      <c r="W23" s="159">
        <f>IF(M23="","",VLOOKUP($B$6,rekenwaarden!M$8:N$12,2))</f>
        <v>9.1199999999999992</v>
      </c>
      <c r="X23" s="160">
        <f t="shared" si="14"/>
        <v>1459.1999999999998</v>
      </c>
      <c r="Y23" s="160">
        <f t="shared" si="15"/>
        <v>8755.1999999999989</v>
      </c>
      <c r="Z23" s="160">
        <f>IF(M23="","", VLOOKUP(B$6,rekenwaarden!M$8:T$12,3)*Q23)</f>
        <v>6108.3846153846162</v>
      </c>
      <c r="AA23" s="160">
        <f t="shared" si="16"/>
        <v>36650.307692307695</v>
      </c>
      <c r="AB23" s="160">
        <f>IF(M23="","", VLOOKUP($B$6,rekenwaarden!M$8:T$12,4)*Q23)</f>
        <v>10600</v>
      </c>
      <c r="AC23" s="160">
        <f t="shared" si="17"/>
        <v>63600</v>
      </c>
      <c r="AD23" s="160">
        <f t="shared" si="18"/>
        <v>9907.2000000000025</v>
      </c>
      <c r="AE23" s="160">
        <f t="shared" si="19"/>
        <v>1651.2000000000025</v>
      </c>
      <c r="AF23" s="160">
        <f t="shared" si="25"/>
        <v>0</v>
      </c>
      <c r="AG23" s="160">
        <f t="shared" si="20"/>
        <v>0</v>
      </c>
      <c r="AH23" s="161">
        <f t="shared" ca="1" si="21"/>
        <v>490.40640000000076</v>
      </c>
      <c r="AI23" s="161">
        <f t="shared" ca="1" si="26"/>
        <v>0</v>
      </c>
      <c r="AJ23" s="161"/>
      <c r="AK23" s="161"/>
      <c r="AL23" s="164">
        <f t="shared" ca="1" si="27"/>
        <v>490.40640000000076</v>
      </c>
    </row>
    <row r="24" spans="1:38" s="113" customFormat="1" ht="15.65" customHeight="1" x14ac:dyDescent="0.25">
      <c r="A24" s="249"/>
      <c r="B24" s="250"/>
      <c r="C24" s="200"/>
      <c r="D24" s="163">
        <f t="shared" si="22"/>
        <v>7</v>
      </c>
      <c r="E24" s="150" t="str">
        <f t="shared" si="22"/>
        <v>Periode 7</v>
      </c>
      <c r="F24" s="151">
        <f t="shared" si="22"/>
        <v>46559</v>
      </c>
      <c r="G24" s="151">
        <f t="shared" si="22"/>
        <v>46586</v>
      </c>
      <c r="H24" s="188">
        <f t="shared" si="3"/>
        <v>160</v>
      </c>
      <c r="I24" s="191">
        <f t="shared" si="4"/>
        <v>3110.4</v>
      </c>
      <c r="J24" s="188">
        <f>IF($E24="","",IF($E25="",SUM(H24:H$30),H24))</f>
        <v>160</v>
      </c>
      <c r="K24" s="191">
        <f>IF($E24="","",IF($E25="",SUM(I24:I$30),I24))</f>
        <v>3110.4</v>
      </c>
      <c r="L24" s="152">
        <f t="shared" si="5"/>
        <v>40</v>
      </c>
      <c r="M24" s="151">
        <f t="shared" si="6"/>
        <v>46559</v>
      </c>
      <c r="N24" s="151">
        <f t="shared" si="7"/>
        <v>46586</v>
      </c>
      <c r="O24" s="150">
        <f t="shared" si="23"/>
        <v>28</v>
      </c>
      <c r="P24" s="153">
        <f t="shared" si="8"/>
        <v>1</v>
      </c>
      <c r="Q24" s="154">
        <f t="shared" si="9"/>
        <v>7.6923076923076927E-2</v>
      </c>
      <c r="R24" s="155">
        <f t="shared" si="10"/>
        <v>160</v>
      </c>
      <c r="S24" s="156">
        <f t="shared" si="11"/>
        <v>21772.800000000003</v>
      </c>
      <c r="T24" s="157">
        <f t="shared" si="12"/>
        <v>1120</v>
      </c>
      <c r="U24" s="157">
        <f t="shared" si="13"/>
        <v>1120</v>
      </c>
      <c r="V24" s="158">
        <f t="shared" si="24"/>
        <v>1</v>
      </c>
      <c r="W24" s="159">
        <f>IF(M24="","",VLOOKUP($B$6,rekenwaarden!M$8:N$12,2))</f>
        <v>9.1199999999999992</v>
      </c>
      <c r="X24" s="160">
        <f t="shared" si="14"/>
        <v>1459.1999999999998</v>
      </c>
      <c r="Y24" s="160">
        <f t="shared" si="15"/>
        <v>10214.399999999998</v>
      </c>
      <c r="Z24" s="160">
        <f>IF(M24="","", VLOOKUP(B$6,rekenwaarden!M$8:T$12,3)*Q24)</f>
        <v>6108.3846153846162</v>
      </c>
      <c r="AA24" s="160">
        <f t="shared" si="16"/>
        <v>42758.692307692312</v>
      </c>
      <c r="AB24" s="160">
        <f>IF(M24="","", VLOOKUP($B$6,rekenwaarden!M$8:T$12,4)*Q24)</f>
        <v>10600</v>
      </c>
      <c r="AC24" s="160">
        <f t="shared" si="17"/>
        <v>74200</v>
      </c>
      <c r="AD24" s="160">
        <f t="shared" si="18"/>
        <v>11558.400000000005</v>
      </c>
      <c r="AE24" s="160">
        <f t="shared" si="19"/>
        <v>1651.2000000000025</v>
      </c>
      <c r="AF24" s="160">
        <f t="shared" si="25"/>
        <v>0</v>
      </c>
      <c r="AG24" s="160">
        <f t="shared" si="20"/>
        <v>0</v>
      </c>
      <c r="AH24" s="161">
        <f t="shared" ca="1" si="21"/>
        <v>490.40640000000076</v>
      </c>
      <c r="AI24" s="161">
        <f t="shared" ca="1" si="26"/>
        <v>0</v>
      </c>
      <c r="AJ24" s="161"/>
      <c r="AK24" s="161"/>
      <c r="AL24" s="164">
        <f t="shared" ca="1" si="27"/>
        <v>490.40640000000076</v>
      </c>
    </row>
    <row r="25" spans="1:38" s="113" customFormat="1" ht="15.65" customHeight="1" x14ac:dyDescent="0.25">
      <c r="A25" s="249"/>
      <c r="B25" s="250"/>
      <c r="C25" s="200"/>
      <c r="D25" s="163">
        <f t="shared" si="22"/>
        <v>8</v>
      </c>
      <c r="E25" s="150" t="str">
        <f t="shared" si="22"/>
        <v>Periode 8</v>
      </c>
      <c r="F25" s="151">
        <f t="shared" si="22"/>
        <v>46587</v>
      </c>
      <c r="G25" s="151">
        <f t="shared" si="22"/>
        <v>46614</v>
      </c>
      <c r="H25" s="189">
        <f t="shared" si="3"/>
        <v>160</v>
      </c>
      <c r="I25" s="192">
        <f t="shared" si="4"/>
        <v>3110.4</v>
      </c>
      <c r="J25" s="189">
        <f>IF($E25="","",IF($E26="",SUM(H25:H$30),H25))</f>
        <v>160</v>
      </c>
      <c r="K25" s="192">
        <f>IF($E25="","",IF($E26="",SUM(I25:I$30),I25))</f>
        <v>3110.4</v>
      </c>
      <c r="L25" s="152">
        <f t="shared" si="5"/>
        <v>40</v>
      </c>
      <c r="M25" s="151">
        <f t="shared" si="6"/>
        <v>46587</v>
      </c>
      <c r="N25" s="151">
        <f t="shared" si="7"/>
        <v>46614</v>
      </c>
      <c r="O25" s="150">
        <f t="shared" si="23"/>
        <v>28</v>
      </c>
      <c r="P25" s="153">
        <f t="shared" si="8"/>
        <v>1</v>
      </c>
      <c r="Q25" s="154">
        <f t="shared" si="9"/>
        <v>7.6923076923076927E-2</v>
      </c>
      <c r="R25" s="155">
        <f t="shared" si="10"/>
        <v>160</v>
      </c>
      <c r="S25" s="156">
        <f t="shared" si="11"/>
        <v>24883.200000000004</v>
      </c>
      <c r="T25" s="157">
        <f t="shared" si="12"/>
        <v>1280</v>
      </c>
      <c r="U25" s="157">
        <f t="shared" si="13"/>
        <v>1280</v>
      </c>
      <c r="V25" s="158">
        <f t="shared" si="24"/>
        <v>1</v>
      </c>
      <c r="W25" s="159">
        <f>IF(M25="","",VLOOKUP($B$6,rekenwaarden!M$8:N$12,2))</f>
        <v>9.1199999999999992</v>
      </c>
      <c r="X25" s="160">
        <f t="shared" si="14"/>
        <v>1459.1999999999998</v>
      </c>
      <c r="Y25" s="160">
        <f t="shared" si="15"/>
        <v>11673.599999999999</v>
      </c>
      <c r="Z25" s="160">
        <f>IF(M25="","", VLOOKUP(B$6,rekenwaarden!M$8:T$12,3)*Q25)</f>
        <v>6108.3846153846162</v>
      </c>
      <c r="AA25" s="160">
        <f t="shared" si="16"/>
        <v>48867.076923076929</v>
      </c>
      <c r="AB25" s="160">
        <f>IF(M25="","", VLOOKUP($B$6,rekenwaarden!M$8:T$12,4)*Q25)</f>
        <v>10600</v>
      </c>
      <c r="AC25" s="160">
        <f t="shared" si="17"/>
        <v>84800</v>
      </c>
      <c r="AD25" s="160">
        <f t="shared" si="18"/>
        <v>13209.600000000006</v>
      </c>
      <c r="AE25" s="160">
        <f t="shared" si="19"/>
        <v>1651.2000000000007</v>
      </c>
      <c r="AF25" s="160">
        <f t="shared" si="25"/>
        <v>0</v>
      </c>
      <c r="AG25" s="160">
        <f t="shared" si="20"/>
        <v>0</v>
      </c>
      <c r="AH25" s="161">
        <f t="shared" ca="1" si="21"/>
        <v>490.40640000000019</v>
      </c>
      <c r="AI25" s="161">
        <f t="shared" ca="1" si="26"/>
        <v>0</v>
      </c>
      <c r="AJ25" s="161"/>
      <c r="AK25" s="161"/>
      <c r="AL25" s="164">
        <f t="shared" ca="1" si="27"/>
        <v>490.40640000000019</v>
      </c>
    </row>
    <row r="26" spans="1:38" s="113" customFormat="1" ht="15.65" customHeight="1" x14ac:dyDescent="0.25">
      <c r="A26" s="125"/>
      <c r="B26" s="126"/>
      <c r="C26" s="200"/>
      <c r="D26" s="163">
        <f t="shared" si="22"/>
        <v>9</v>
      </c>
      <c r="E26" s="150" t="str">
        <f t="shared" si="22"/>
        <v>Periode 9</v>
      </c>
      <c r="F26" s="151">
        <f t="shared" si="22"/>
        <v>46615</v>
      </c>
      <c r="G26" s="151">
        <f t="shared" si="22"/>
        <v>46642</v>
      </c>
      <c r="H26" s="188">
        <f t="shared" si="3"/>
        <v>160</v>
      </c>
      <c r="I26" s="191">
        <f t="shared" si="4"/>
        <v>3110.4</v>
      </c>
      <c r="J26" s="188">
        <f>IF($E26="","",IF($E27="",SUM(H26:H$30),H26))</f>
        <v>160</v>
      </c>
      <c r="K26" s="191">
        <f>IF($E26="","",IF($E27="",SUM(I26:I$30),I26))</f>
        <v>3110.4</v>
      </c>
      <c r="L26" s="152">
        <f t="shared" si="5"/>
        <v>40</v>
      </c>
      <c r="M26" s="151">
        <f t="shared" si="6"/>
        <v>46615</v>
      </c>
      <c r="N26" s="151">
        <f t="shared" si="7"/>
        <v>46642</v>
      </c>
      <c r="O26" s="150">
        <f t="shared" si="23"/>
        <v>28</v>
      </c>
      <c r="P26" s="153">
        <f t="shared" si="8"/>
        <v>1</v>
      </c>
      <c r="Q26" s="154">
        <f t="shared" si="9"/>
        <v>7.6923076923076927E-2</v>
      </c>
      <c r="R26" s="155">
        <f t="shared" si="10"/>
        <v>160</v>
      </c>
      <c r="S26" s="156">
        <f t="shared" si="11"/>
        <v>27993.600000000006</v>
      </c>
      <c r="T26" s="157">
        <f t="shared" si="12"/>
        <v>1440</v>
      </c>
      <c r="U26" s="157">
        <f t="shared" si="13"/>
        <v>1440</v>
      </c>
      <c r="V26" s="158">
        <f t="shared" si="24"/>
        <v>1</v>
      </c>
      <c r="W26" s="159">
        <f>IF(M26="","",VLOOKUP($B$6,rekenwaarden!M$8:N$12,2))</f>
        <v>9.1199999999999992</v>
      </c>
      <c r="X26" s="160">
        <f t="shared" si="14"/>
        <v>1459.1999999999998</v>
      </c>
      <c r="Y26" s="160">
        <f t="shared" si="15"/>
        <v>13132.8</v>
      </c>
      <c r="Z26" s="160">
        <f>IF(M26="","", VLOOKUP(B$6,rekenwaarden!M$8:T$12,3)*Q26)</f>
        <v>6108.3846153846162</v>
      </c>
      <c r="AA26" s="160">
        <f t="shared" si="16"/>
        <v>54975.461538461546</v>
      </c>
      <c r="AB26" s="160">
        <f>IF(M26="","", VLOOKUP($B$6,rekenwaarden!M$8:T$12,4)*Q26)</f>
        <v>10600</v>
      </c>
      <c r="AC26" s="160">
        <f t="shared" si="17"/>
        <v>95400</v>
      </c>
      <c r="AD26" s="160">
        <f t="shared" si="18"/>
        <v>14860.800000000007</v>
      </c>
      <c r="AE26" s="160">
        <f t="shared" si="19"/>
        <v>1651.2000000000007</v>
      </c>
      <c r="AF26" s="160">
        <f t="shared" si="25"/>
        <v>0</v>
      </c>
      <c r="AG26" s="160">
        <f t="shared" si="20"/>
        <v>0</v>
      </c>
      <c r="AH26" s="161">
        <f t="shared" ca="1" si="21"/>
        <v>490.40640000000019</v>
      </c>
      <c r="AI26" s="161">
        <f t="shared" ca="1" si="26"/>
        <v>0</v>
      </c>
      <c r="AJ26" s="161"/>
      <c r="AK26" s="161"/>
      <c r="AL26" s="164">
        <f t="shared" ca="1" si="27"/>
        <v>490.40640000000019</v>
      </c>
    </row>
    <row r="27" spans="1:38" s="113" customFormat="1" ht="15.65" customHeight="1" x14ac:dyDescent="0.25">
      <c r="A27" s="125"/>
      <c r="B27" s="126"/>
      <c r="C27" s="200"/>
      <c r="D27" s="163">
        <f t="shared" si="22"/>
        <v>10</v>
      </c>
      <c r="E27" s="150" t="str">
        <f t="shared" si="22"/>
        <v>Periode 10</v>
      </c>
      <c r="F27" s="151">
        <f t="shared" si="22"/>
        <v>46643</v>
      </c>
      <c r="G27" s="151">
        <f t="shared" si="22"/>
        <v>46670</v>
      </c>
      <c r="H27" s="189">
        <f t="shared" si="3"/>
        <v>170</v>
      </c>
      <c r="I27" s="192">
        <f t="shared" si="4"/>
        <v>3304.8</v>
      </c>
      <c r="J27" s="189">
        <f>IF($E27="","",IF($E28="",SUM(H27:H$30),H27))</f>
        <v>170</v>
      </c>
      <c r="K27" s="192">
        <f>IF($E27="","",IF($E28="",SUM(I27:I$30),I27))</f>
        <v>3304.8</v>
      </c>
      <c r="L27" s="152">
        <f t="shared" si="5"/>
        <v>40</v>
      </c>
      <c r="M27" s="151">
        <f t="shared" si="6"/>
        <v>46643</v>
      </c>
      <c r="N27" s="151">
        <f t="shared" si="7"/>
        <v>46670</v>
      </c>
      <c r="O27" s="150">
        <f t="shared" si="23"/>
        <v>28</v>
      </c>
      <c r="P27" s="153">
        <f t="shared" si="8"/>
        <v>1</v>
      </c>
      <c r="Q27" s="154">
        <f t="shared" si="9"/>
        <v>7.6923076923076927E-2</v>
      </c>
      <c r="R27" s="155">
        <f t="shared" si="10"/>
        <v>160</v>
      </c>
      <c r="S27" s="156">
        <f t="shared" si="11"/>
        <v>31298.400000000005</v>
      </c>
      <c r="T27" s="157">
        <f t="shared" si="12"/>
        <v>1610</v>
      </c>
      <c r="U27" s="157">
        <f t="shared" si="13"/>
        <v>1600</v>
      </c>
      <c r="V27" s="158">
        <f t="shared" si="24"/>
        <v>1.0062500000000001</v>
      </c>
      <c r="W27" s="159">
        <f>IF(M27="","",VLOOKUP($B$6,rekenwaarden!M$8:N$12,2))</f>
        <v>9.1199999999999992</v>
      </c>
      <c r="X27" s="160">
        <f t="shared" si="14"/>
        <v>1550.3999999999999</v>
      </c>
      <c r="Y27" s="160">
        <f t="shared" si="15"/>
        <v>14683.199999999999</v>
      </c>
      <c r="Z27" s="160">
        <f>IF(M27="","", VLOOKUP(B$6,rekenwaarden!M$8:T$12,3)*Q27)</f>
        <v>6108.3846153846162</v>
      </c>
      <c r="AA27" s="160">
        <f t="shared" si="16"/>
        <v>61083.846153846163</v>
      </c>
      <c r="AB27" s="160">
        <f>IF(M27="","", VLOOKUP($B$6,rekenwaarden!M$8:T$12,4)*Q27)</f>
        <v>10600</v>
      </c>
      <c r="AC27" s="160">
        <f t="shared" si="17"/>
        <v>106000</v>
      </c>
      <c r="AD27" s="160">
        <f t="shared" si="18"/>
        <v>16615.200000000004</v>
      </c>
      <c r="AE27" s="160">
        <f t="shared" si="19"/>
        <v>1754.3999999999978</v>
      </c>
      <c r="AF27" s="160">
        <f t="shared" si="25"/>
        <v>0</v>
      </c>
      <c r="AG27" s="160">
        <f t="shared" si="20"/>
        <v>0</v>
      </c>
      <c r="AH27" s="161">
        <f t="shared" ca="1" si="21"/>
        <v>521.05679999999927</v>
      </c>
      <c r="AI27" s="161">
        <f t="shared" ca="1" si="26"/>
        <v>0</v>
      </c>
      <c r="AJ27" s="161"/>
      <c r="AK27" s="161"/>
      <c r="AL27" s="164">
        <f t="shared" ca="1" si="27"/>
        <v>521.05679999999927</v>
      </c>
    </row>
    <row r="28" spans="1:38" s="113" customFormat="1" ht="15.65" customHeight="1" x14ac:dyDescent="0.25">
      <c r="A28" s="125"/>
      <c r="B28" s="126"/>
      <c r="C28" s="200"/>
      <c r="D28" s="163">
        <f t="shared" si="22"/>
        <v>11</v>
      </c>
      <c r="E28" s="150" t="str">
        <f t="shared" si="22"/>
        <v>Periode 11</v>
      </c>
      <c r="F28" s="151">
        <f t="shared" si="22"/>
        <v>46671</v>
      </c>
      <c r="G28" s="151">
        <f t="shared" si="22"/>
        <v>46698</v>
      </c>
      <c r="H28" s="188">
        <f t="shared" si="3"/>
        <v>200</v>
      </c>
      <c r="I28" s="191">
        <f t="shared" si="4"/>
        <v>3888</v>
      </c>
      <c r="J28" s="188">
        <f>IF($E28="","",IF($E29="",SUM(H28:H$30),H28))</f>
        <v>200</v>
      </c>
      <c r="K28" s="191">
        <f>IF($E28="","",IF($E29="",SUM(I28:I$30),I28))</f>
        <v>3888</v>
      </c>
      <c r="L28" s="152">
        <f t="shared" si="5"/>
        <v>40</v>
      </c>
      <c r="M28" s="151">
        <f t="shared" si="6"/>
        <v>46671</v>
      </c>
      <c r="N28" s="151">
        <f t="shared" si="7"/>
        <v>46698</v>
      </c>
      <c r="O28" s="150">
        <f t="shared" si="23"/>
        <v>28</v>
      </c>
      <c r="P28" s="153">
        <f t="shared" si="8"/>
        <v>1</v>
      </c>
      <c r="Q28" s="154">
        <f t="shared" si="9"/>
        <v>7.6923076923076927E-2</v>
      </c>
      <c r="R28" s="155">
        <f t="shared" si="10"/>
        <v>160</v>
      </c>
      <c r="S28" s="156">
        <f t="shared" si="11"/>
        <v>35186.400000000009</v>
      </c>
      <c r="T28" s="157">
        <f t="shared" si="12"/>
        <v>1810</v>
      </c>
      <c r="U28" s="157">
        <f t="shared" si="13"/>
        <v>1760</v>
      </c>
      <c r="V28" s="158">
        <f t="shared" si="24"/>
        <v>1.0284090909090908</v>
      </c>
      <c r="W28" s="159">
        <f>IF(M28="","",VLOOKUP($B$6,rekenwaarden!M$8:N$12,2))</f>
        <v>9.1199999999999992</v>
      </c>
      <c r="X28" s="160">
        <f t="shared" si="14"/>
        <v>1823.9999999999998</v>
      </c>
      <c r="Y28" s="160">
        <f t="shared" si="15"/>
        <v>16507.199999999997</v>
      </c>
      <c r="Z28" s="160">
        <f>IF(M28="","", VLOOKUP(B$6,rekenwaarden!M$8:T$12,3)*Q28)</f>
        <v>6108.3846153846162</v>
      </c>
      <c r="AA28" s="160">
        <f t="shared" si="16"/>
        <v>67192.23076923078</v>
      </c>
      <c r="AB28" s="160">
        <f>IF(M28="","", VLOOKUP($B$6,rekenwaarden!M$8:T$12,4)*Q28)</f>
        <v>10600</v>
      </c>
      <c r="AC28" s="160">
        <f t="shared" si="17"/>
        <v>116600</v>
      </c>
      <c r="AD28" s="160">
        <f t="shared" si="18"/>
        <v>18679.200000000012</v>
      </c>
      <c r="AE28" s="160">
        <f t="shared" si="19"/>
        <v>2064.0000000000073</v>
      </c>
      <c r="AF28" s="160">
        <f t="shared" si="25"/>
        <v>0</v>
      </c>
      <c r="AG28" s="160">
        <f t="shared" si="20"/>
        <v>0</v>
      </c>
      <c r="AH28" s="161">
        <f t="shared" ca="1" si="21"/>
        <v>613.00800000000208</v>
      </c>
      <c r="AI28" s="161">
        <f t="shared" ca="1" si="26"/>
        <v>0</v>
      </c>
      <c r="AJ28" s="161"/>
      <c r="AK28" s="161"/>
      <c r="AL28" s="164">
        <f t="shared" ca="1" si="27"/>
        <v>613.00800000000208</v>
      </c>
    </row>
    <row r="29" spans="1:38" s="113" customFormat="1" ht="15.65" customHeight="1" x14ac:dyDescent="0.25">
      <c r="A29" s="125"/>
      <c r="B29" s="126"/>
      <c r="C29" s="200"/>
      <c r="D29" s="163">
        <f t="shared" si="22"/>
        <v>12</v>
      </c>
      <c r="E29" s="150" t="str">
        <f t="shared" si="22"/>
        <v>Periode 12</v>
      </c>
      <c r="F29" s="151">
        <f t="shared" si="22"/>
        <v>46699</v>
      </c>
      <c r="G29" s="151">
        <f t="shared" si="22"/>
        <v>46726</v>
      </c>
      <c r="H29" s="189">
        <f t="shared" si="3"/>
        <v>190</v>
      </c>
      <c r="I29" s="192">
        <f t="shared" si="4"/>
        <v>3723.6</v>
      </c>
      <c r="J29" s="189">
        <f>IF($E29="","",IF($E30="",SUM(H29:H$30),H29))</f>
        <v>190</v>
      </c>
      <c r="K29" s="192">
        <f>IF($E29="","",IF($E30="",SUM(I29:I$30),I29))</f>
        <v>3723.6</v>
      </c>
      <c r="L29" s="152">
        <f t="shared" si="5"/>
        <v>40</v>
      </c>
      <c r="M29" s="151">
        <f t="shared" si="6"/>
        <v>46699</v>
      </c>
      <c r="N29" s="151">
        <f t="shared" si="7"/>
        <v>46726</v>
      </c>
      <c r="O29" s="150">
        <f t="shared" si="23"/>
        <v>28</v>
      </c>
      <c r="P29" s="153">
        <f t="shared" si="8"/>
        <v>1</v>
      </c>
      <c r="Q29" s="154">
        <f t="shared" si="9"/>
        <v>7.6923076923076927E-2</v>
      </c>
      <c r="R29" s="155">
        <f t="shared" si="10"/>
        <v>160</v>
      </c>
      <c r="S29" s="156">
        <f t="shared" si="11"/>
        <v>38910.000000000007</v>
      </c>
      <c r="T29" s="157">
        <f t="shared" si="12"/>
        <v>2000</v>
      </c>
      <c r="U29" s="157">
        <f t="shared" si="13"/>
        <v>1920</v>
      </c>
      <c r="V29" s="158">
        <f t="shared" si="24"/>
        <v>1.0416666666666667</v>
      </c>
      <c r="W29" s="159">
        <f>IF(M29="","",VLOOKUP($B$6,rekenwaarden!M$8:N$12,2))</f>
        <v>9.1199999999999992</v>
      </c>
      <c r="X29" s="160">
        <f t="shared" si="14"/>
        <v>1732.8</v>
      </c>
      <c r="Y29" s="160">
        <f t="shared" si="15"/>
        <v>18239.999999999996</v>
      </c>
      <c r="Z29" s="160">
        <f>IF(M29="","", VLOOKUP(B$6,rekenwaarden!M$8:T$12,3)*Q29)</f>
        <v>6108.3846153846162</v>
      </c>
      <c r="AA29" s="160">
        <f t="shared" si="16"/>
        <v>73300.61538461539</v>
      </c>
      <c r="AB29" s="160">
        <f>IF(M29="","", VLOOKUP($B$6,rekenwaarden!M$8:T$12,4)*Q29)</f>
        <v>10600</v>
      </c>
      <c r="AC29" s="160">
        <f t="shared" si="17"/>
        <v>127200</v>
      </c>
      <c r="AD29" s="160">
        <f t="shared" si="18"/>
        <v>20670.000000000011</v>
      </c>
      <c r="AE29" s="160">
        <f t="shared" si="19"/>
        <v>1990.7999999999993</v>
      </c>
      <c r="AF29" s="160">
        <f t="shared" si="25"/>
        <v>0</v>
      </c>
      <c r="AG29" s="160">
        <f t="shared" si="20"/>
        <v>0</v>
      </c>
      <c r="AH29" s="161">
        <f t="shared" ca="1" si="21"/>
        <v>591.26759999999979</v>
      </c>
      <c r="AI29" s="161">
        <f t="shared" ca="1" si="26"/>
        <v>0</v>
      </c>
      <c r="AJ29" s="161"/>
      <c r="AK29" s="161"/>
      <c r="AL29" s="164">
        <f t="shared" ca="1" si="27"/>
        <v>591.26759999999979</v>
      </c>
    </row>
    <row r="30" spans="1:38" s="113" customFormat="1" ht="15.65" customHeight="1" thickBot="1" x14ac:dyDescent="0.3">
      <c r="A30" s="129"/>
      <c r="B30" s="130"/>
      <c r="C30" s="200"/>
      <c r="D30" s="165">
        <f t="shared" si="22"/>
        <v>13</v>
      </c>
      <c r="E30" s="166" t="str">
        <f t="shared" si="22"/>
        <v>Periode 13</v>
      </c>
      <c r="F30" s="167">
        <f t="shared" si="22"/>
        <v>46727</v>
      </c>
      <c r="G30" s="167">
        <f t="shared" si="22"/>
        <v>46752</v>
      </c>
      <c r="H30" s="190">
        <f t="shared" si="3"/>
        <v>160</v>
      </c>
      <c r="I30" s="193">
        <f t="shared" si="4"/>
        <v>3119.9999999999991</v>
      </c>
      <c r="J30" s="190">
        <f>IF($E30="","",IF($E31="",SUM(H30:H$30),H30))</f>
        <v>160</v>
      </c>
      <c r="K30" s="193">
        <f>IF($E30="","",IF($E31="",SUM(I30:I$30),I30))</f>
        <v>3119.9999999999991</v>
      </c>
      <c r="L30" s="168">
        <f t="shared" si="5"/>
        <v>40</v>
      </c>
      <c r="M30" s="167">
        <f t="shared" si="6"/>
        <v>46727</v>
      </c>
      <c r="N30" s="167">
        <f t="shared" si="7"/>
        <v>46752</v>
      </c>
      <c r="O30" s="166">
        <f t="shared" si="23"/>
        <v>26</v>
      </c>
      <c r="P30" s="169">
        <f t="shared" si="8"/>
        <v>1</v>
      </c>
      <c r="Q30" s="183">
        <f t="shared" si="9"/>
        <v>7.6923076923076927E-2</v>
      </c>
      <c r="R30" s="170">
        <f t="shared" si="10"/>
        <v>160</v>
      </c>
      <c r="S30" s="171">
        <f t="shared" si="11"/>
        <v>42030.000000000007</v>
      </c>
      <c r="T30" s="172">
        <f t="shared" si="12"/>
        <v>2160</v>
      </c>
      <c r="U30" s="172">
        <f t="shared" si="13"/>
        <v>2080</v>
      </c>
      <c r="V30" s="172">
        <f t="shared" si="24"/>
        <v>1.0384615384615385</v>
      </c>
      <c r="W30" s="173">
        <f>IF(M30="","",VLOOKUP($B$6,rekenwaarden!M$8:N$12,2))</f>
        <v>9.1199999999999992</v>
      </c>
      <c r="X30" s="174">
        <f t="shared" si="14"/>
        <v>1459.1999999999998</v>
      </c>
      <c r="Y30" s="174">
        <f t="shared" si="15"/>
        <v>19699.199999999997</v>
      </c>
      <c r="Z30" s="174">
        <f>IF(M30="","", VLOOKUP(B$6,rekenwaarden!M$8:T$12,3)*Q30)</f>
        <v>6108.3846153846162</v>
      </c>
      <c r="AA30" s="174">
        <f t="shared" si="16"/>
        <v>79409</v>
      </c>
      <c r="AB30" s="174">
        <f>IF(M30="","", VLOOKUP($B$6,rekenwaarden!M$8:T$12,4)*Q30)</f>
        <v>10600</v>
      </c>
      <c r="AC30" s="174">
        <f t="shared" si="17"/>
        <v>137800</v>
      </c>
      <c r="AD30" s="174">
        <f t="shared" si="18"/>
        <v>22330.80000000001</v>
      </c>
      <c r="AE30" s="174">
        <f t="shared" si="19"/>
        <v>1660.7999999999993</v>
      </c>
      <c r="AF30" s="174">
        <f t="shared" si="25"/>
        <v>0</v>
      </c>
      <c r="AG30" s="174">
        <f t="shared" si="20"/>
        <v>0</v>
      </c>
      <c r="AH30" s="175">
        <f t="shared" ca="1" si="21"/>
        <v>493.25759999999974</v>
      </c>
      <c r="AI30" s="175">
        <f t="shared" ca="1" si="26"/>
        <v>0</v>
      </c>
      <c r="AJ30" s="175"/>
      <c r="AK30" s="175"/>
      <c r="AL30" s="176">
        <f t="shared" ca="1" si="27"/>
        <v>493.25759999999974</v>
      </c>
    </row>
  </sheetData>
  <sheetProtection algorithmName="SHA-512" hashValue="MD4ldr1OeKE0CvsaRh5CyhsyDZpukF+7wTMISMEIyXWy9pFNVGyeHY6s0WSOk5cguK60IEu94E02Iy7re3XBSg==" saltValue="r4QRngKmC3BIdh/fe0xHcA==" spinCount="100000" sheet="1" objects="1" scenarios="1"/>
  <protectedRanges>
    <protectedRange sqref="K2:U14" name="Loonaangiftebericht"/>
    <protectedRange sqref="B1:B9" name="Persoon en IKV"/>
  </protectedRanges>
  <mergeCells count="3">
    <mergeCell ref="A11:B11"/>
    <mergeCell ref="A12:B25"/>
    <mergeCell ref="D17:E17"/>
  </mergeCells>
  <dataValidations count="8">
    <dataValidation type="list" allowBlank="1" showInputMessage="1" showErrorMessage="1" sqref="B2" xr:uid="{8241D070-7720-4D22-8941-48D6564CCAAB}">
      <formula1>"Maandelijks,Vierwekelijks"</formula1>
    </dataValidation>
    <dataValidation type="list" allowBlank="1" showInputMessage="1" showErrorMessage="1" sqref="B8:C8" xr:uid="{05CD4BA4-9F0C-4BF0-9ECE-DAB1AB5D2FA0}">
      <formula1>"WAAR,NIET WAAR"</formula1>
    </dataValidation>
    <dataValidation type="list" allowBlank="1" showInputMessage="1" showErrorMessage="1" sqref="B1:C1" xr:uid="{DD5571DC-0392-46D8-AE3B-FB6715D5A931}">
      <formula1>"2027,2028"</formula1>
    </dataValidation>
    <dataValidation type="list" allowBlank="1" showInputMessage="1" showErrorMessage="1" sqref="C2" xr:uid="{84DDCA7E-618C-4FBA-ABDE-9EBB9998A7EA}">
      <formula1>"maandelijks,vierwekelijks"</formula1>
    </dataValidation>
    <dataValidation type="list" allowBlank="1" showInputMessage="1" showErrorMessage="1" sqref="L2:L14" xr:uid="{8B2AE7ED-D0FC-4B49-9858-E5984B2AC2A9}">
      <formula1>Code_Soort_IKV</formula1>
    </dataValidation>
    <dataValidation type="list" allowBlank="1" showInputMessage="1" showErrorMessage="1" sqref="M2:M14" xr:uid="{A29B937E-D013-4221-8911-8927A40DA30D}">
      <formula1>Code_Aard_Arbeidsverhouding</formula1>
    </dataValidation>
    <dataValidation type="list" allowBlank="1" showInputMessage="1" showErrorMessage="1" sqref="K2:K14" xr:uid="{0AD72D5F-B7E1-4BC0-A27B-6D068495ED2D}">
      <formula1>Code_Reden_Einde_Arbeidsverhouding</formula1>
    </dataValidation>
    <dataValidation type="whole" allowBlank="1" showInputMessage="1" showErrorMessage="1" promptTitle="Handboek Loonheffingen: " prompt="Rekenkundig afgeronde hele uren" sqref="N2:N14" xr:uid="{69999AA2-335B-40AB-B50A-65A815331408}">
      <formula1>-999</formula1>
      <formula2>999</formula2>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8443236E-8D8E-41AA-9DFE-522D085774E2}">
          <x14:formula1>
            <xm:f>rekenwaarden!$M$8:$M$12</xm:f>
          </x14:formula1>
          <xm:sqref>B6:C6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3E182-07D9-49BB-8531-ECB7A43F2A76}">
  <sheetPr>
    <tabColor theme="7" tint="-0.249977111117893"/>
  </sheetPr>
  <dimension ref="A1:AL33"/>
  <sheetViews>
    <sheetView showGridLines="0" zoomScale="90" zoomScaleNormal="90" workbookViewId="0">
      <pane xSplit="2" ySplit="30" topLeftCell="C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8164062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6.453125" bestFit="1" customWidth="1"/>
    <col min="22" max="33" width="15.81640625" customWidth="1"/>
    <col min="34" max="34" width="19.453125" bestFit="1" customWidth="1"/>
    <col min="35" max="35" width="20.453125" customWidth="1"/>
    <col min="36" max="36" width="12.81640625" bestFit="1" customWidth="1"/>
    <col min="37" max="37" width="17.1796875"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114" t="s">
        <v>18</v>
      </c>
      <c r="W1" s="121" t="s">
        <v>61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IF(OR(Datum_Einde_IKV="",Tabel13510[[#This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IF(Tabel13510[[#This Row],[Inkomsten-periode]]="","",DATEDIF(Geboortedatum,Tabel13510[[#This Row],[DatEindTv]],"Y"))</f>
        <v>56</v>
      </c>
      <c r="I2" s="146">
        <f>IF(Tabel13510[[#This Row],[Inkomsten-periode]]="","",IF(Datum_Aanvang_IKV="","",Datum_Aanvang_IKV))</f>
        <v>46143</v>
      </c>
      <c r="J2" s="146" t="str">
        <f>IF(Tabel13510[[#This Row],[Inkomsten-periode]]="","",IF(Datum_Einde_IKV="","",IF(Datum_Einde_IKV&lt;=Tabel13510[[#This Row],[DatEindTv]],Datum_Einde_IKV,"")))</f>
        <v/>
      </c>
      <c r="K2" s="138"/>
      <c r="L2" s="138">
        <v>13</v>
      </c>
      <c r="M2" s="138">
        <v>1</v>
      </c>
      <c r="N2" s="139">
        <v>100</v>
      </c>
      <c r="O2" s="140">
        <v>2000</v>
      </c>
      <c r="P2" s="140">
        <v>160</v>
      </c>
      <c r="Q2" s="140">
        <v>160</v>
      </c>
      <c r="R2" s="140">
        <v>0</v>
      </c>
      <c r="S2" s="140">
        <v>0</v>
      </c>
      <c r="T2" s="140">
        <v>2200</v>
      </c>
      <c r="U2" s="140"/>
      <c r="V2" s="184">
        <f>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Row],[OpnAvwb]],0))))</f>
        <v>2200</v>
      </c>
      <c r="W2" s="185">
        <f>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Row],[AantVerlU]],0))))</f>
        <v>100</v>
      </c>
      <c r="X2" s="184" t="str">
        <f>IF(Tabel13510[[#This Row],[Inkomsten-periode]]="",IF(Tabel13510[[#This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f>
        <v/>
      </c>
      <c r="Y2" s="185" t="str">
        <f>IF(Tabel13510[[#This Row],[Inkomsten-periode]]="",IF(Tabel13510[[#This Row],[CdRdnEindArbov]]=33,0,IF(AND(OR(Tabel13510[[#This Row],[SrtIV]]=13,Tabel13510[[#This Row],[SrtIV]]=15,Tabel13510[[#This Row],[SrtIV]]=31),OR(Tabel13510[[#This Row],[CdAard]]=1,Tabel13510[[#This Row],[CdAard]]=11,Tabel13510[[#This Row],[CdAard]]=82,Tabel13510[[#This Row],[CdAard]]=83)),Tabel13510[[#This Row],[AantVerlU]],"")),"")</f>
        <v/>
      </c>
    </row>
    <row r="3" spans="1:38" s="113" customFormat="1" ht="16.399999999999999" customHeight="1" x14ac:dyDescent="0.25">
      <c r="A3" s="122" t="s">
        <v>21</v>
      </c>
      <c r="B3" s="133">
        <v>25785</v>
      </c>
      <c r="C3" s="202"/>
      <c r="D3" s="145">
        <f>IF(OR(Datum_Einde_IKV&gt;G2,Datum_Einde_IKV=""),IF(AND($B$2="Maandelijks", COUNTIF($D$1:D2, 12)=1), "",IF(OR(AND($B$2="Maandelijks", D2=12),AND($B$2="Vierwekelijks", D2=13), D2 = "Periode"), 1, D2+1)),"")</f>
        <v>2</v>
      </c>
      <c r="E3" s="145" t="str">
        <f>IF(OR(Datum_Einde_IKV="",Tabel13510[[#This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IF(Tabel13510[[#This Row],[Inkomsten-periode]]="","",DATEDIF(Geboortedatum,Tabel13510[[#This Row],[DatEindTv]],"Y"))</f>
        <v>56</v>
      </c>
      <c r="I3" s="146">
        <f>IF(Tabel13510[[#This Row],[Inkomsten-periode]]="","",IF(Datum_Aanvang_IKV="","",Datum_Aanvang_IKV))</f>
        <v>46143</v>
      </c>
      <c r="J3" s="146" t="str">
        <f>IF(Tabel13510[[#This Row],[Inkomsten-periode]]="","",IF(Datum_Einde_IKV="","",IF(Datum_Einde_IKV&lt;=Tabel13510[[#This Row],[DatEindTv]],Datum_Einde_IKV,"")))</f>
        <v/>
      </c>
      <c r="K3" s="141"/>
      <c r="L3" s="141">
        <v>13</v>
      </c>
      <c r="M3" s="141">
        <v>1</v>
      </c>
      <c r="N3" s="142">
        <v>10</v>
      </c>
      <c r="O3" s="143">
        <v>200</v>
      </c>
      <c r="P3" s="143">
        <v>16</v>
      </c>
      <c r="Q3" s="143">
        <v>16</v>
      </c>
      <c r="R3" s="143">
        <v>0</v>
      </c>
      <c r="S3" s="143">
        <v>0</v>
      </c>
      <c r="T3" s="143">
        <v>228</v>
      </c>
      <c r="U3" s="143"/>
      <c r="V3" s="184">
        <f>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Row],[OpnAvwb]],0))))</f>
        <v>228</v>
      </c>
      <c r="W3" s="186">
        <f>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Row],[AantVerlU]],0))))</f>
        <v>10</v>
      </c>
      <c r="X3" s="184" t="str">
        <f>IF(Tabel13510[[#This Row],[Inkomsten-periode]]="",IF(Tabel13510[[#This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f>
        <v/>
      </c>
      <c r="Y3" s="186" t="str">
        <f>IF(Tabel13510[[#This Row],[Inkomsten-periode]]="",IF(Tabel13510[[#This Row],[CdRdnEindArbov]]=33,0,IF(AND(OR(Tabel13510[[#This Row],[SrtIV]]=13,Tabel13510[[#This Row],[SrtIV]]=15,Tabel13510[[#This Row],[SrtIV]]=31),OR(Tabel13510[[#This Row],[CdAard]]=1,Tabel13510[[#This Row],[CdAard]]=11,Tabel13510[[#This Row],[CdAard]]=82,Tabel13510[[#This Row],[CdAard]]=83)),Tabel13510[[#This Row],[AantVerlU]],"")),"")</f>
        <v/>
      </c>
    </row>
    <row r="4" spans="1:38" s="113" customFormat="1" ht="16.399999999999999" customHeight="1" x14ac:dyDescent="0.25">
      <c r="A4" s="122" t="s">
        <v>22</v>
      </c>
      <c r="B4" s="134">
        <v>46143</v>
      </c>
      <c r="C4" s="202"/>
      <c r="D4" s="144">
        <f>IF(OR(Datum_Einde_IKV&gt;G3,Datum_Einde_IKV=""),IF(AND($B$2="Maandelijks", COUNTIF($D$1:D3, 12)=1), "",IF(OR(AND($B$2="Maandelijks", D3=12),AND($B$2="Vierwekelijks", D3=13), D3 = "Periode"), 1, D3+1)),"")</f>
        <v>3</v>
      </c>
      <c r="E4" s="145" t="str">
        <f>IF(OR(Datum_Einde_IKV="",Tabel13510[[#This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IF(Tabel13510[[#This Row],[Inkomsten-periode]]="","",DATEDIF(Geboortedatum,Tabel13510[[#This Row],[DatEindTv]],"Y"))</f>
        <v>56</v>
      </c>
      <c r="I4" s="146">
        <f>IF(Tabel13510[[#This Row],[Inkomsten-periode]]="","",IF(Datum_Aanvang_IKV="","",Datum_Aanvang_IKV))</f>
        <v>46143</v>
      </c>
      <c r="J4" s="146" t="str">
        <f>IF(Tabel13510[[#This Row],[Inkomsten-periode]]="","",IF(Datum_Einde_IKV="","",IF(Datum_Einde_IKV&lt;=Tabel13510[[#This Row],[DatEindTv]],Datum_Einde_IKV,"")))</f>
        <v/>
      </c>
      <c r="K4" s="138"/>
      <c r="L4" s="138">
        <v>13</v>
      </c>
      <c r="M4" s="138">
        <v>1</v>
      </c>
      <c r="N4" s="139">
        <v>0</v>
      </c>
      <c r="O4" s="140">
        <v>0</v>
      </c>
      <c r="P4" s="140">
        <v>0</v>
      </c>
      <c r="Q4" s="140">
        <v>0</v>
      </c>
      <c r="R4" s="140">
        <v>0</v>
      </c>
      <c r="S4" s="140">
        <v>0</v>
      </c>
      <c r="T4" s="140">
        <v>0</v>
      </c>
      <c r="U4" s="140"/>
      <c r="V4" s="184">
        <f>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Row],[OpnAvwb]],0))))</f>
        <v>0</v>
      </c>
      <c r="W4" s="186">
        <f>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Row],[AantVerlU]],0))))</f>
        <v>0</v>
      </c>
      <c r="X4" s="184" t="str">
        <f>IF(Tabel13510[[#This Row],[Inkomsten-periode]]="",IF(Tabel13510[[#This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f>
        <v/>
      </c>
      <c r="Y4" s="186" t="str">
        <f>IF(Tabel13510[[#This Row],[Inkomsten-periode]]="",IF(Tabel13510[[#This Row],[CdRdnEindArbov]]=33,0,IF(AND(OR(Tabel13510[[#This Row],[SrtIV]]=13,Tabel13510[[#This Row],[SrtIV]]=15,Tabel13510[[#This Row],[SrtIV]]=31),OR(Tabel13510[[#This Row],[CdAard]]=1,Tabel13510[[#This Row],[CdAard]]=11,Tabel13510[[#This Row],[CdAard]]=82,Tabel13510[[#This Row],[CdAard]]=83)),Tabel13510[[#This Row],[AantVerlU]],"")),"")</f>
        <v/>
      </c>
    </row>
    <row r="5" spans="1:38" s="113" customFormat="1" ht="16.399999999999999" customHeight="1" x14ac:dyDescent="0.25">
      <c r="A5" s="122" t="s">
        <v>23</v>
      </c>
      <c r="B5" s="133">
        <v>46599</v>
      </c>
      <c r="C5" s="202"/>
      <c r="D5" s="145">
        <f>IF(OR(Datum_Einde_IKV&gt;G4,Datum_Einde_IKV=""),IF(AND($B$2="Maandelijks", COUNTIF($D$1:D4, 12)=1), "",IF(OR(AND($B$2="Maandelijks", D4=12),AND($B$2="Vierwekelijks", D4=13), D4 = "Periode"), 1, D4+1)),"")</f>
        <v>4</v>
      </c>
      <c r="E5" s="145" t="str">
        <f>IF(OR(Datum_Einde_IKV="",Tabel13510[[#This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IF(Tabel13510[[#This Row],[Inkomsten-periode]]="","",DATEDIF(Geboortedatum,Tabel13510[[#This Row],[DatEindTv]],"Y"))</f>
        <v>56</v>
      </c>
      <c r="I5" s="146">
        <f>IF(Tabel13510[[#This Row],[Inkomsten-periode]]="","",IF(Datum_Aanvang_IKV="","",Datum_Aanvang_IKV))</f>
        <v>46143</v>
      </c>
      <c r="J5" s="146" t="str">
        <f>IF(Tabel13510[[#This Row],[Inkomsten-periode]]="","",IF(Datum_Einde_IKV="","",IF(Datum_Einde_IKV&lt;=Tabel13510[[#This Row],[DatEindTv]],Datum_Einde_IKV,"")))</f>
        <v/>
      </c>
      <c r="K5" s="141"/>
      <c r="L5" s="141">
        <v>13</v>
      </c>
      <c r="M5" s="141">
        <v>1</v>
      </c>
      <c r="N5" s="142">
        <v>0</v>
      </c>
      <c r="O5" s="143">
        <v>0</v>
      </c>
      <c r="P5" s="143">
        <v>0</v>
      </c>
      <c r="Q5" s="143">
        <v>0</v>
      </c>
      <c r="R5" s="143">
        <v>0</v>
      </c>
      <c r="S5" s="143">
        <v>0</v>
      </c>
      <c r="T5" s="143">
        <v>0</v>
      </c>
      <c r="U5" s="143"/>
      <c r="V5" s="184">
        <f>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Row],[OpnAvwb]],0))))</f>
        <v>0</v>
      </c>
      <c r="W5" s="186">
        <f>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Row],[AantVerlU]],0))))</f>
        <v>0</v>
      </c>
      <c r="X5" s="184" t="str">
        <f>IF(Tabel13510[[#This Row],[Inkomsten-periode]]="",IF(Tabel13510[[#This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f>
        <v/>
      </c>
      <c r="Y5" s="186" t="str">
        <f>IF(Tabel13510[[#This Row],[Inkomsten-periode]]="",IF(Tabel13510[[#This Row],[CdRdnEindArbov]]=33,0,IF(AND(OR(Tabel13510[[#This Row],[SrtIV]]=13,Tabel13510[[#This Row],[SrtIV]]=15,Tabel13510[[#This Row],[SrtIV]]=31),OR(Tabel13510[[#This Row],[CdAard]]=1,Tabel13510[[#This Row],[CdAard]]=11,Tabel13510[[#This Row],[CdAard]]=82,Tabel13510[[#This Row],[CdAard]]=83)),Tabel13510[[#This Row],[AantVerlU]],"")),"")</f>
        <v/>
      </c>
    </row>
    <row r="6" spans="1:38" s="113" customFormat="1" ht="16.399999999999999" customHeight="1" x14ac:dyDescent="0.25">
      <c r="A6" s="122" t="s">
        <v>24</v>
      </c>
      <c r="B6" s="135" t="s">
        <v>25</v>
      </c>
      <c r="C6" s="203"/>
      <c r="D6" s="144">
        <f>IF(OR(Datum_Einde_IKV&gt;G5,Datum_Einde_IKV=""),IF(AND($B$2="Maandelijks", COUNTIF($D$1:D5, 12)=1), "",IF(OR(AND($B$2="Maandelijks", D5=12),AND($B$2="Vierwekelijks", D5=13), D5 = "Periode"), 1, D5+1)),"")</f>
        <v>5</v>
      </c>
      <c r="E6" s="145" t="str">
        <f>IF(OR(Datum_Einde_IKV="",Tabel13510[[#This Row],[DatAanvTv]]&lt;Datum_Einde_IKV),IF(E5="december","",IF(Verloningsperiodiciteit="maandelijks",rekenwaarden!F7,_xlfn.CONCAT("Periode ",rekenwaarden!E7))),"")</f>
        <v>mei</v>
      </c>
      <c r="F6" s="146">
        <f t="shared" si="0"/>
        <v>46508</v>
      </c>
      <c r="G6" s="146">
        <f>IF(F6="", "", IF(Verloningsperiodiciteit="Vierwekelijks", _xlfn.XLOOKUP(F6,rekenwaarden!$C$3:$C$54,rekenwaarden!$D$3:$D$54,"niet gevonden",-1), _xlfn.XLOOKUP(F6,rekenwaarden!$I$3:$I$54,rekenwaarden!$J$3:$J$54,"niet gevonden",-1)))</f>
        <v>46538</v>
      </c>
      <c r="H6" s="147">
        <f>IF(Tabel13510[[#This Row],[Inkomsten-periode]]="","",DATEDIF(Geboortedatum,Tabel13510[[#This Row],[DatEindTv]],"Y"))</f>
        <v>56</v>
      </c>
      <c r="I6" s="146">
        <f>IF(Tabel13510[[#This Row],[Inkomsten-periode]]="","",IF(Datum_Aanvang_IKV="","",Datum_Aanvang_IKV))</f>
        <v>46143</v>
      </c>
      <c r="J6" s="146" t="str">
        <f>IF(Tabel13510[[#This Row],[Inkomsten-periode]]="","",IF(Datum_Einde_IKV="","",IF(Datum_Einde_IKV&lt;=Tabel13510[[#This Row],[DatEindTv]],Datum_Einde_IKV,"")))</f>
        <v/>
      </c>
      <c r="K6" s="138"/>
      <c r="L6" s="138">
        <v>13</v>
      </c>
      <c r="M6" s="138">
        <v>1</v>
      </c>
      <c r="N6" s="139">
        <v>200</v>
      </c>
      <c r="O6" s="140">
        <v>4800</v>
      </c>
      <c r="P6" s="140">
        <v>350</v>
      </c>
      <c r="Q6" s="140">
        <v>350</v>
      </c>
      <c r="R6" s="140">
        <v>0</v>
      </c>
      <c r="S6" s="140">
        <v>0</v>
      </c>
      <c r="T6" s="140">
        <v>5400</v>
      </c>
      <c r="U6" s="140"/>
      <c r="V6" s="184">
        <f>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Row],[OpnAvwb]],0))))</f>
        <v>5400</v>
      </c>
      <c r="W6" s="186">
        <f>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Row],[AantVerlU]],0))))</f>
        <v>200</v>
      </c>
      <c r="X6" s="184" t="str">
        <f>IF(Tabel13510[[#This Row],[Inkomsten-periode]]="",IF(Tabel13510[[#This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f>
        <v/>
      </c>
      <c r="Y6" s="186" t="str">
        <f>IF(Tabel13510[[#This Row],[Inkomsten-periode]]="",IF(Tabel13510[[#This Row],[CdRdnEindArbov]]=33,0,IF(AND(OR(Tabel13510[[#This Row],[SrtIV]]=13,Tabel13510[[#This Row],[SrtIV]]=15,Tabel13510[[#This Row],[SrtIV]]=31),OR(Tabel13510[[#This Row],[CdAard]]=1,Tabel13510[[#This Row],[CdAard]]=11,Tabel13510[[#This Row],[CdAard]]=82,Tabel13510[[#This Row],[CdAard]]=83)),Tabel13510[[#This Row],[AantVerlU]],"")),"")</f>
        <v/>
      </c>
    </row>
    <row r="7" spans="1:38" s="113" customFormat="1" ht="16.399999999999999" customHeight="1" x14ac:dyDescent="0.25">
      <c r="A7" s="122" t="s">
        <v>26</v>
      </c>
      <c r="B7" s="136">
        <f>VLOOKUP(B6,rekenwaarden!M8:T12,8)</f>
        <v>40</v>
      </c>
      <c r="C7" s="204"/>
      <c r="D7" s="145">
        <f>IF(OR(Datum_Einde_IKV&gt;G6,Datum_Einde_IKV=""),IF(AND($B$2="Maandelijks", COUNTIF($D$1:D6, 12)=1), "",IF(OR(AND($B$2="Maandelijks", D6=12),AND($B$2="Vierwekelijks", D6=13), D6 = "Periode"), 1, D6+1)),"")</f>
        <v>6</v>
      </c>
      <c r="E7" s="145" t="str">
        <f>IF(OR(Datum_Einde_IKV="",Tabel13510[[#This Row],[DatAanvTv]]&lt;Datum_Einde_IKV),IF(E6="december","",IF(Verloningsperiodiciteit="maandelijks",rekenwaarden!F8,_xlfn.CONCAT("Periode ",rekenwaarden!E8))),"")</f>
        <v>juni</v>
      </c>
      <c r="F7" s="146">
        <f t="shared" si="0"/>
        <v>46539</v>
      </c>
      <c r="G7" s="146">
        <f>IF(F7="", "", IF(Verloningsperiodiciteit="Vierwekelijks", _xlfn.XLOOKUP(F7,rekenwaarden!$C$3:$C$54,rekenwaarden!$D$3:$D$54,"niet gevonden",-1), _xlfn.XLOOKUP(F7,rekenwaarden!$I$3:$I$54,rekenwaarden!$J$3:$J$54,"niet gevonden",-1)))</f>
        <v>46568</v>
      </c>
      <c r="H7" s="147">
        <f>IF(Tabel13510[[#This Row],[Inkomsten-periode]]="","",DATEDIF(Geboortedatum,Tabel13510[[#This Row],[DatEindTv]],"Y"))</f>
        <v>56</v>
      </c>
      <c r="I7" s="146">
        <f>IF(Tabel13510[[#This Row],[Inkomsten-periode]]="","",IF(Datum_Aanvang_IKV="","",Datum_Aanvang_IKV))</f>
        <v>46143</v>
      </c>
      <c r="J7" s="146" t="str">
        <f>IF(Tabel13510[[#This Row],[Inkomsten-periode]]="","",IF(Datum_Einde_IKV="","",IF(Datum_Einde_IKV&lt;=Tabel13510[[#This Row],[DatEindTv]],Datum_Einde_IKV,"")))</f>
        <v/>
      </c>
      <c r="K7" s="141"/>
      <c r="L7" s="141">
        <v>13</v>
      </c>
      <c r="M7" s="141">
        <v>1</v>
      </c>
      <c r="N7" s="142">
        <v>2</v>
      </c>
      <c r="O7" s="143">
        <v>-700</v>
      </c>
      <c r="P7" s="143">
        <v>0</v>
      </c>
      <c r="Q7" s="143">
        <v>4</v>
      </c>
      <c r="R7" s="143">
        <v>4</v>
      </c>
      <c r="S7" s="143">
        <v>0</v>
      </c>
      <c r="T7" s="143">
        <v>-700</v>
      </c>
      <c r="U7" s="143"/>
      <c r="V7" s="184">
        <f>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Row],[OpnAvwb]],0))))</f>
        <v>-700</v>
      </c>
      <c r="W7" s="186">
        <f>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Row],[AantVerlU]],0))))</f>
        <v>2</v>
      </c>
      <c r="X7" s="184" t="str">
        <f>IF(Tabel13510[[#This Row],[Inkomsten-periode]]="",IF(Tabel13510[[#This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f>
        <v/>
      </c>
      <c r="Y7" s="186" t="str">
        <f>IF(Tabel13510[[#This Row],[Inkomsten-periode]]="",IF(Tabel13510[[#This Row],[CdRdnEindArbov]]=33,0,IF(AND(OR(Tabel13510[[#This Row],[SrtIV]]=13,Tabel13510[[#This Row],[SrtIV]]=15,Tabel13510[[#This Row],[SrtIV]]=31),OR(Tabel13510[[#This Row],[CdAard]]=1,Tabel13510[[#This Row],[CdAard]]=11,Tabel13510[[#This Row],[CdAard]]=82,Tabel13510[[#This Row],[CdAard]]=83)),Tabel13510[[#This Row],[AantVerlU]],"")),"")</f>
        <v/>
      </c>
    </row>
    <row r="8" spans="1:38" s="113" customFormat="1" ht="16.399999999999999" customHeight="1" x14ac:dyDescent="0.25">
      <c r="A8" s="122" t="s">
        <v>27</v>
      </c>
      <c r="B8" s="137" t="b">
        <v>1</v>
      </c>
      <c r="C8" s="202"/>
      <c r="D8" s="144">
        <f>IF(OR(Datum_Einde_IKV&gt;G7,Datum_Einde_IKV=""),IF(AND($B$2="Maandelijks", COUNTIF($D$1:D7, 12)=1), "",IF(OR(AND($B$2="Maandelijks", D7=12),AND($B$2="Vierwekelijks", D7=13), D7 = "Periode"), 1, D7+1)),"")</f>
        <v>7</v>
      </c>
      <c r="E8" s="145" t="str">
        <f>IF(OR(Datum_Einde_IKV="",Tabel13510[[#This Row],[DatAanvTv]]&lt;Datum_Einde_IKV),IF(E7="december","",IF(Verloningsperiodiciteit="maandelijks",rekenwaarden!F9,_xlfn.CONCAT("Periode ",rekenwaarden!E9))),"")</f>
        <v>juli</v>
      </c>
      <c r="F8" s="146">
        <f t="shared" si="0"/>
        <v>46569</v>
      </c>
      <c r="G8" s="146">
        <f>IF(F8="", "", IF(Verloningsperiodiciteit="Vierwekelijks", _xlfn.XLOOKUP(F8,rekenwaarden!$C$3:$C$54,rekenwaarden!$D$3:$D$54,"niet gevonden",-1), _xlfn.XLOOKUP(F8,rekenwaarden!$I$3:$I$54,rekenwaarden!$J$3:$J$54,"niet gevonden",-1)))</f>
        <v>46599</v>
      </c>
      <c r="H8" s="147">
        <f>IF(Tabel13510[[#This Row],[Inkomsten-periode]]="","",DATEDIF(Geboortedatum,Tabel13510[[#This Row],[DatEindTv]],"Y"))</f>
        <v>56</v>
      </c>
      <c r="I8" s="146">
        <f>IF(Tabel13510[[#This Row],[Inkomsten-periode]]="","",IF(Datum_Aanvang_IKV="","",Datum_Aanvang_IKV))</f>
        <v>46143</v>
      </c>
      <c r="J8" s="146">
        <f>IF(Tabel13510[[#This Row],[Inkomsten-periode]]="","",IF(Datum_Einde_IKV="","",IF(Datum_Einde_IKV&lt;=Tabel13510[[#This Row],[DatEindTv]],Datum_Einde_IKV,"")))</f>
        <v>46599</v>
      </c>
      <c r="K8" s="138">
        <v>1</v>
      </c>
      <c r="L8" s="138">
        <v>13</v>
      </c>
      <c r="M8" s="138">
        <v>1</v>
      </c>
      <c r="N8" s="139">
        <v>0</v>
      </c>
      <c r="O8" s="140">
        <v>0</v>
      </c>
      <c r="P8" s="140">
        <v>0</v>
      </c>
      <c r="Q8" s="140">
        <v>0</v>
      </c>
      <c r="R8" s="140">
        <v>0</v>
      </c>
      <c r="S8" s="140">
        <v>0</v>
      </c>
      <c r="T8" s="140">
        <v>0</v>
      </c>
      <c r="U8" s="140"/>
      <c r="V8" s="184">
        <f>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Row],[OpnAvwb]],0))))</f>
        <v>0</v>
      </c>
      <c r="W8" s="186">
        <f>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Row],[AantVerlU]],0))))</f>
        <v>0</v>
      </c>
      <c r="X8" s="184" t="str">
        <f>IF(Tabel13510[[#This Row],[Inkomsten-periode]]="",IF(Tabel13510[[#This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f>
        <v/>
      </c>
      <c r="Y8" s="186" t="str">
        <f>IF(Tabel13510[[#This Row],[Inkomsten-periode]]="",IF(Tabel13510[[#This Row],[CdRdnEindArbov]]=33,0,IF(AND(OR(Tabel13510[[#This Row],[SrtIV]]=13,Tabel13510[[#This Row],[SrtIV]]=15,Tabel13510[[#This Row],[SrtIV]]=31),OR(Tabel13510[[#This Row],[CdAard]]=1,Tabel13510[[#This Row],[CdAard]]=11,Tabel13510[[#This Row],[CdAard]]=82,Tabel13510[[#This Row],[CdAard]]=83)),Tabel13510[[#This Row],[AantVerlU]],"")),"")</f>
        <v/>
      </c>
    </row>
    <row r="9" spans="1:38" s="113" customFormat="1" ht="16.399999999999999" customHeight="1" x14ac:dyDescent="0.25">
      <c r="A9" s="122"/>
      <c r="B9" s="131"/>
      <c r="C9" s="200"/>
      <c r="D9" s="145" t="str">
        <f>IF(OR(Datum_Einde_IKV&gt;G8,Datum_Einde_IKV=""),IF(AND($B$2="Maandelijks", COUNTIF($D$1:D8, 12)=1), "",IF(OR(AND($B$2="Maandelijks", D8=12),AND($B$2="Vierwekelijks", D8=13), D8 = "Periode"), 1, D8+1)),"")</f>
        <v/>
      </c>
      <c r="E9" s="145" t="str">
        <f>IF(OR(Datum_Einde_IKV="",Tabel13510[[#This Row],[DatAanvTv]]&lt;Datum_Einde_IKV),IF(E8="december","",IF(Verloningsperiodiciteit="maandelijks",rekenwaarden!F10,_xlfn.CONCAT("Periode ",rekenwaarden!E10))),"")</f>
        <v/>
      </c>
      <c r="F9" s="146" t="str">
        <f t="shared" si="0"/>
        <v/>
      </c>
      <c r="G9" s="146" t="str">
        <f>IF(F9="", "", IF(Verloningsperiodiciteit="Vierwekelijks", _xlfn.XLOOKUP(F9,rekenwaarden!$C$3:$C$54,rekenwaarden!$D$3:$D$54,"niet gevonden",-1), _xlfn.XLOOKUP(F9,rekenwaarden!$I$3:$I$54,rekenwaarden!$J$3:$J$54,"niet gevonden",-1)))</f>
        <v/>
      </c>
      <c r="H9" s="147" t="str">
        <f>IF(Tabel13510[[#This Row],[Inkomsten-periode]]="","",DATEDIF(Geboortedatum,Tabel13510[[#This Row],[DatEindTv]],"Y"))</f>
        <v/>
      </c>
      <c r="I9" s="146" t="str">
        <f>IF(Tabel13510[[#This Row],[Inkomsten-periode]]="","",IF(Datum_Aanvang_IKV="","",Datum_Aanvang_IKV))</f>
        <v/>
      </c>
      <c r="J9" s="146" t="str">
        <f>IF(Tabel13510[[#This Row],[Inkomsten-periode]]="","",IF(Datum_Einde_IKV="","",IF(Datum_Einde_IKV&lt;=Tabel13510[[#This Row],[DatEindTv]],Datum_Einde_IKV,"")))</f>
        <v/>
      </c>
      <c r="K9" s="141"/>
      <c r="L9" s="141"/>
      <c r="M9" s="141"/>
      <c r="N9" s="142"/>
      <c r="O9" s="143"/>
      <c r="P9" s="143"/>
      <c r="Q9" s="143"/>
      <c r="R9" s="143"/>
      <c r="S9" s="143"/>
      <c r="T9" s="143"/>
      <c r="U9" s="143"/>
      <c r="V9" s="184"/>
      <c r="W9" s="186"/>
      <c r="X9" s="184"/>
      <c r="Y9" s="186"/>
    </row>
    <row r="10" spans="1:38" s="113" customFormat="1" ht="16.399999999999999" customHeight="1" thickBot="1" x14ac:dyDescent="0.3">
      <c r="A10" s="200"/>
      <c r="B10" s="200"/>
      <c r="C10" s="200"/>
      <c r="D10" s="144" t="str">
        <f>IF(OR(Datum_Einde_IKV&gt;G9,Datum_Einde_IKV=""),IF(AND($B$2="Maandelijks", COUNTIF($D$1:D9, 12)=1), "",IF(OR(AND($B$2="Maandelijks", D9=12),AND($B$2="Vierwekelijks", D9=13), D9 = "Periode"), 1, D9+1)),"")</f>
        <v/>
      </c>
      <c r="E10" s="145" t="str">
        <f>IF(OR(Datum_Einde_IKV="",Tabel13510[[#This Row],[DatAanvTv]]&lt;Datum_Einde_IKV),IF(E9="december","",IF(Verloningsperiodiciteit="maandelijks",rekenwaarden!F11,_xlfn.CONCAT("Periode ",rekenwaarden!E11))),"")</f>
        <v/>
      </c>
      <c r="F10" s="146" t="str">
        <f t="shared" si="0"/>
        <v/>
      </c>
      <c r="G10" s="146" t="str">
        <f>IF(F10="", "", IF(Verloningsperiodiciteit="Vierwekelijks", _xlfn.XLOOKUP(F10,rekenwaarden!$C$3:$C$54,rekenwaarden!$D$3:$D$54,"niet gevonden",-1), _xlfn.XLOOKUP(F10,rekenwaarden!$I$3:$I$54,rekenwaarden!$J$3:$J$54,"niet gevonden",-1)))</f>
        <v/>
      </c>
      <c r="H10" s="147" t="str">
        <f>IF(Tabel13510[[#This Row],[Inkomsten-periode]]="","",DATEDIF(Geboortedatum,Tabel13510[[#This Row],[DatEindTv]],"Y"))</f>
        <v/>
      </c>
      <c r="I10" s="146" t="str">
        <f>IF(Tabel13510[[#This Row],[Inkomsten-periode]]="","",IF(Datum_Aanvang_IKV="","",Datum_Aanvang_IKV))</f>
        <v/>
      </c>
      <c r="J10" s="146" t="str">
        <f>IF(Tabel13510[[#This Row],[Inkomsten-periode]]="","",IF(Datum_Einde_IKV="","",IF(Datum_Einde_IKV&lt;=Tabel13510[[#This Row],[DatEindTv]],Datum_Einde_IKV,"")))</f>
        <v/>
      </c>
      <c r="K10" s="138"/>
      <c r="L10" s="138"/>
      <c r="M10" s="138"/>
      <c r="N10" s="139"/>
      <c r="O10" s="140"/>
      <c r="P10" s="140"/>
      <c r="Q10" s="140"/>
      <c r="R10" s="140"/>
      <c r="S10" s="140"/>
      <c r="T10" s="140"/>
      <c r="U10" s="140"/>
      <c r="V10" s="184"/>
      <c r="W10" s="186"/>
      <c r="X10" s="184"/>
      <c r="Y10" s="186"/>
    </row>
    <row r="11" spans="1:38" s="113" customFormat="1" ht="16.399999999999999" customHeight="1" x14ac:dyDescent="0.25">
      <c r="A11" s="245" t="s">
        <v>65</v>
      </c>
      <c r="B11" s="246"/>
      <c r="C11" s="200"/>
      <c r="D11" s="145" t="str">
        <f>IF(OR(Datum_Einde_IKV&gt;G10,Datum_Einde_IKV=""),IF(AND($B$2="Maandelijks", COUNTIF($D$1:D10, 12)=1), "",IF(OR(AND($B$2="Maandelijks", D10=12),AND($B$2="Vierwekelijks", D10=13), D10 = "Periode"), 1, D10+1)),"")</f>
        <v/>
      </c>
      <c r="E11" s="145" t="str">
        <f>IF(OR(Datum_Einde_IKV="",Tabel13510[[#This Row],[DatAanvTv]]&lt;Datum_Einde_IKV),IF(E10="december","",IF(Verloningsperiodiciteit="maandelijks",rekenwaarden!F12,_xlfn.CONCAT("Periode ",rekenwaarden!E12))),"")</f>
        <v/>
      </c>
      <c r="F11" s="146" t="str">
        <f t="shared" si="0"/>
        <v/>
      </c>
      <c r="G11" s="146" t="str">
        <f>IF(F11="", "", IF(Verloningsperiodiciteit="Vierwekelijks", _xlfn.XLOOKUP(F11,rekenwaarden!$C$3:$C$54,rekenwaarden!$D$3:$D$54,"niet gevonden",-1), _xlfn.XLOOKUP(F11,rekenwaarden!$I$3:$I$54,rekenwaarden!$J$3:$J$54,"niet gevonden",-1)))</f>
        <v/>
      </c>
      <c r="H11" s="147" t="str">
        <f>IF(Tabel13510[[#This Row],[Inkomsten-periode]]="","",DATEDIF(Geboortedatum,Tabel13510[[#This Row],[DatEindTv]],"Y"))</f>
        <v/>
      </c>
      <c r="I11" s="146" t="str">
        <f>IF(Tabel13510[[#This Row],[Inkomsten-periode]]="","",IF(Datum_Aanvang_IKV="","",Datum_Aanvang_IKV))</f>
        <v/>
      </c>
      <c r="J11" s="146" t="str">
        <f>IF(Tabel13510[[#This Row],[Inkomsten-periode]]="","",IF(Datum_Einde_IKV="","",IF(Datum_Einde_IKV&lt;=Tabel13510[[#This Row],[DatEindTv]],Datum_Einde_IKV,"")))</f>
        <v/>
      </c>
      <c r="K11" s="141"/>
      <c r="L11" s="141"/>
      <c r="M11" s="141"/>
      <c r="N11" s="142"/>
      <c r="O11" s="143"/>
      <c r="P11" s="143"/>
      <c r="Q11" s="143"/>
      <c r="R11" s="143"/>
      <c r="S11" s="143"/>
      <c r="T11" s="143"/>
      <c r="U11" s="143"/>
      <c r="V11" s="184"/>
      <c r="W11" s="186"/>
      <c r="X11" s="184"/>
      <c r="Y11" s="186"/>
    </row>
    <row r="12" spans="1:38" s="113" customFormat="1" ht="16.399999999999999" customHeight="1" x14ac:dyDescent="0.25">
      <c r="A12" s="125" t="s">
        <v>66</v>
      </c>
      <c r="B12" s="126"/>
      <c r="C12" s="200"/>
      <c r="D12" s="144" t="str">
        <f>IF(OR(Datum_Einde_IKV&gt;G11,Datum_Einde_IKV=""),IF(AND($B$2="Maandelijks", COUNTIF($D$1:D11, 12)=1), "",IF(OR(AND($B$2="Maandelijks", D11=12),AND($B$2="Vierwekelijks", D11=13), D11 = "Periode"), 1, D11+1)),"")</f>
        <v/>
      </c>
      <c r="E12" s="145" t="str">
        <f>IF(OR(Datum_Einde_IKV="",Tabel13510[[#This Row],[DatAanvTv]]&lt;Datum_Einde_IKV),IF(E11="december","",IF(Verloningsperiodiciteit="maandelijks",rekenwaarden!F13,_xlfn.CONCAT("Periode ",rekenwaarden!E13))),"")</f>
        <v/>
      </c>
      <c r="F12" s="146" t="str">
        <f t="shared" si="0"/>
        <v/>
      </c>
      <c r="G12" s="146" t="str">
        <f>IF(F12="", "", IF(Verloningsperiodiciteit="Vierwekelijks", _xlfn.XLOOKUP(F12,rekenwaarden!$C$3:$C$54,rekenwaarden!$D$3:$D$54,"niet gevonden",-1), _xlfn.XLOOKUP(F12,rekenwaarden!$I$3:$I$54,rekenwaarden!$J$3:$J$54,"niet gevonden",-1)))</f>
        <v/>
      </c>
      <c r="H12" s="147" t="str">
        <f>IF(Tabel13510[[#This Row],[Inkomsten-periode]]="","",DATEDIF(Geboortedatum,Tabel13510[[#This Row],[DatEindTv]],"Y"))</f>
        <v/>
      </c>
      <c r="I12" s="146" t="str">
        <f>IF(Tabel13510[[#This Row],[Inkomsten-periode]]="","",IF(Datum_Aanvang_IKV="","",Datum_Aanvang_IKV))</f>
        <v/>
      </c>
      <c r="J12" s="146" t="str">
        <f>IF(Tabel13510[[#This Row],[Inkomsten-periode]]="","",IF(Datum_Einde_IKV="","",IF(Datum_Einde_IKV&lt;=Tabel13510[[#This Row],[DatEindTv]],Datum_Einde_IKV,"")))</f>
        <v/>
      </c>
      <c r="K12" s="138"/>
      <c r="L12" s="138"/>
      <c r="M12" s="138"/>
      <c r="N12" s="139"/>
      <c r="O12" s="140"/>
      <c r="P12" s="140"/>
      <c r="Q12" s="140"/>
      <c r="R12" s="140"/>
      <c r="S12" s="140"/>
      <c r="T12" s="140"/>
      <c r="U12" s="140"/>
      <c r="V12" s="184"/>
      <c r="W12" s="186"/>
      <c r="X12" s="184"/>
      <c r="Y12" s="186"/>
    </row>
    <row r="13" spans="1:38" s="113" customFormat="1" ht="16.399999999999999" customHeight="1" x14ac:dyDescent="0.25">
      <c r="A13" s="125" t="s">
        <v>186</v>
      </c>
      <c r="B13" s="126"/>
      <c r="C13" s="200"/>
      <c r="D13" s="145" t="str">
        <f>IF(OR(Datum_Einde_IKV&gt;G12,Datum_Einde_IKV=""),IF(AND($B$2="Maandelijks", COUNTIF($D$1:D12, 12)=1), "",IF(OR(AND($B$2="Maandelijks", D12=12),AND($B$2="Vierwekelijks", D12=13), D12 = "Periode"), 1, D12+1)),"")</f>
        <v/>
      </c>
      <c r="E13" s="145" t="str">
        <f>IF(OR(Datum_Einde_IKV="",Tabel13510[[#This Row],[DatAanvTv]]&lt;Datum_Einde_IKV),IF(E12="december","",IF(Verloningsperiodiciteit="maandelijks",rekenwaarden!F14,_xlfn.CONCAT("Periode ",rekenwaarden!E14))),"")</f>
        <v/>
      </c>
      <c r="F13" s="146" t="str">
        <f t="shared" si="0"/>
        <v/>
      </c>
      <c r="G13" s="146" t="str">
        <f>IF(F13="", "", IF(Verloningsperiodiciteit="Vierwekelijks", _xlfn.XLOOKUP(F13,rekenwaarden!$C$3:$C$54,rekenwaarden!$D$3:$D$54,"niet gevonden",-1), _xlfn.XLOOKUP(F13,rekenwaarden!$I$3:$I$54,rekenwaarden!$J$3:$J$54,"niet gevonden",-1)))</f>
        <v/>
      </c>
      <c r="H13" s="147" t="str">
        <f>IF(Tabel13510[[#This Row],[Inkomsten-periode]]="","",DATEDIF(Geboortedatum,Tabel13510[[#This Row],[DatEindTv]],"Y"))</f>
        <v/>
      </c>
      <c r="I13" s="146" t="str">
        <f>IF(Tabel13510[[#This Row],[Inkomsten-periode]]="","",IF(Datum_Aanvang_IKV="","",Datum_Aanvang_IKV))</f>
        <v/>
      </c>
      <c r="J13" s="146" t="str">
        <f>IF(Tabel13510[[#This Row],[Inkomsten-periode]]="","",IF(Datum_Einde_IKV="","",IF(Datum_Einde_IKV&lt;=Tabel13510[[#This Row],[DatEindTv]],Datum_Einde_IKV,"")))</f>
        <v/>
      </c>
      <c r="K13" s="141"/>
      <c r="L13" s="141"/>
      <c r="M13" s="141"/>
      <c r="N13" s="142"/>
      <c r="O13" s="143"/>
      <c r="P13" s="143"/>
      <c r="Q13" s="143"/>
      <c r="R13" s="143"/>
      <c r="S13" s="143"/>
      <c r="T13" s="143"/>
      <c r="U13" s="143"/>
      <c r="V13" s="184"/>
      <c r="W13" s="186"/>
      <c r="X13" s="184"/>
      <c r="Y13" s="186"/>
    </row>
    <row r="14" spans="1:38" s="113" customFormat="1" ht="16.399999999999999" customHeight="1" x14ac:dyDescent="0.25">
      <c r="A14" s="125" t="s">
        <v>187</v>
      </c>
      <c r="B14" s="126"/>
      <c r="C14" s="200"/>
      <c r="D14" s="144" t="str">
        <f>IF(OR(Datum_Einde_IKV&gt;G13,Datum_Einde_IKV=""),IF(AND($B$2="Maandelijks", COUNTIF($D$1:D13, 12)=1), "",IF(OR(AND($B$2="Maandelijks", D13=12),AND($B$2="Vierwekelijks", D13=13), D13 = "Periode"), 1, D13+1)),"")</f>
        <v/>
      </c>
      <c r="E14" s="145" t="str">
        <f>IF(OR(Datum_Einde_IKV="",Tabel13510[[#This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IF(Tabel13510[[#This Row],[Inkomsten-periode]]="","",DATEDIF(Geboortedatum,Tabel13510[[#This Row],[DatEindTv]],"Y"))</f>
        <v/>
      </c>
      <c r="I14" s="146" t="str">
        <f>IF(Tabel13510[[#This Row],[Inkomsten-periode]]="","",IF(Datum_Aanvang_IKV="","",Datum_Aanvang_IKV))</f>
        <v/>
      </c>
      <c r="J14" s="146" t="str">
        <f>IF(Tabel13510[[#This Row],[Inkomsten-periode]]="","",IF(Datum_Einde_IKV="","",IF(Datum_Einde_IKV&lt;=Tabel13510[[#This Row],[DatEindTv]],Datum_Einde_IKV,"")))</f>
        <v/>
      </c>
      <c r="K14" s="138"/>
      <c r="L14" s="138"/>
      <c r="M14" s="138"/>
      <c r="N14" s="139"/>
      <c r="O14" s="140"/>
      <c r="P14" s="140"/>
      <c r="Q14" s="140"/>
      <c r="R14" s="140"/>
      <c r="S14" s="140"/>
      <c r="T14" s="140"/>
      <c r="U14" s="140"/>
      <c r="V14" s="184" t="str">
        <f>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Row],[OpnAvwb]],0))))</f>
        <v/>
      </c>
      <c r="W14" s="187" t="str">
        <f>IF(Tabel13510[[#This Row],[Inkomsten-periode]]="","",IF(OR(Tabel13510[[#This Row],[Leeftijd]]&lt;18,Tabel13510[[#This Row],[Leeftijd]]&gt;=68),0,IF(Tabel13510[[#This Row],[CdRdnEindArbov]]=33,0,IF(AND(OR(Tabel13510[[#This Row],[SrtIV]]=13,Tabel13510[[#This Row],[SrtIV]]=15,Tabel13510[[#This Row],[SrtIV]]=31),OR(Tabel13510[[#This Row],[CdAard]]=1,Tabel13510[[#This Row],[CdAard]]=11,Tabel13510[[#This Row],[CdAard]]=82,Tabel13510[[#This Row],[CdAard]]=83)),Tabel13510[[#This Row],[AantVerlU]],0))))</f>
        <v/>
      </c>
      <c r="X14" s="184" t="str">
        <f>IF(Tabel13510[[#This Row],[Inkomsten-periode]]="",IF(Tabel13510[[#This Row],[CdRdnEindArbov]]=33,0,IF(AND(OR(Tabel13510[[#This Row],[SrtIV]]=13,Tabel13510[[#This Row],[SrtIV]]=15,Tabel13510[[#This Row],[SrtIV]]=31),OR(Tabel13510[[#This Row],[CdAard]]=1,Tabel13510[[#This Row],[CdAard]]=11,Tabel13510[[#This Row],[CdAard]]=82,Tabel13510[[#This Row],[CdAard]]=83)),Tabel13510[[#This Row],[LnInGld]]+Tabel13510[[#This Row],[OpgRchtVakBsl]]-Tabel13510[[#This Row],[VakBsl]]+Tabel13510[[#This Row],[OpbAvwb]]-Tabel13510[[#This Row],[OpnAvwb]],"")),"")</f>
        <v/>
      </c>
      <c r="Y14" s="187" t="str">
        <f>IF(Tabel13510[[#This Row],[Inkomsten-periode]]="",IF(Tabel13510[[#This Row],[CdRdnEindArbov]]=33,0,IF(AND(OR(Tabel13510[[#This Row],[SrtIV]]=13,Tabel13510[[#This Row],[SrtIV]]=15,Tabel13510[[#This Row],[SrtIV]]=31),OR(Tabel13510[[#This Row],[CdAard]]=1,Tabel13510[[#This Row],[CdAard]]=11,Tabel13510[[#This Row],[CdAard]]=82,Tabel13510[[#This Row],[CdAard]]=83)),Tabel13510[[#This Row],[AantVerlU]],"")),"")</f>
        <v/>
      </c>
    </row>
    <row r="15" spans="1:38" ht="13" thickBot="1" x14ac:dyDescent="0.3">
      <c r="A15" s="127" t="s">
        <v>188</v>
      </c>
      <c r="B15" s="128"/>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4.5" x14ac:dyDescent="0.35">
      <c r="A16" s="127" t="s">
        <v>189</v>
      </c>
      <c r="B16" s="128"/>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127"/>
      <c r="B17" s="128"/>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125" t="s">
        <v>67</v>
      </c>
      <c r="B18" s="126"/>
      <c r="C18" s="200"/>
      <c r="D18" s="163">
        <f>D2</f>
        <v>1</v>
      </c>
      <c r="E18" s="150" t="str">
        <f>E2</f>
        <v>januari</v>
      </c>
      <c r="F18" s="151">
        <f>F2</f>
        <v>46388</v>
      </c>
      <c r="G18" s="151">
        <f>G2</f>
        <v>46418</v>
      </c>
      <c r="H18" s="188">
        <f t="shared" ref="H18:H30" si="1">IF(AND(W2="",Y2=""),"",MAX(W2,Y2))</f>
        <v>100</v>
      </c>
      <c r="I18" s="191">
        <f t="shared" ref="I18:I30" si="2">IF(AND(V2="",X2=""),"",MAX(V2,X2))</f>
        <v>2200</v>
      </c>
      <c r="J18" s="188">
        <f>IF($E18="","",IF($E19="",SUM(H18:H$30),H18))</f>
        <v>100</v>
      </c>
      <c r="K18" s="191">
        <f>IF($E18="","",IF($E19="",SUM(I18:I$30),I18))</f>
        <v>2200</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2200</v>
      </c>
      <c r="T18" s="157">
        <f t="shared" ref="T18:T30" si="10">IF(M18="","",J18+IF(AND(D18&lt;&gt;1, T17&lt;&gt;""),T17,0))</f>
        <v>100</v>
      </c>
      <c r="U18" s="157">
        <f t="shared" ref="U18:U30" si="11">IF(M18="","",R18+IF(AND(D18&lt;&gt;1, U17&lt;&gt;""),U17,0))</f>
        <v>173.33333333333334</v>
      </c>
      <c r="V18" s="158">
        <f>IF(M18="",0,T18/U18)</f>
        <v>0.57692307692307687</v>
      </c>
      <c r="W18" s="159">
        <f>IF(M18="","",VLOOKUP($B$6,rekenwaarden!M$8:N$12,2))</f>
        <v>8.31</v>
      </c>
      <c r="X18" s="160">
        <f t="shared" ref="X18:X30" si="12">IF(M18="","",W18*J18)</f>
        <v>831</v>
      </c>
      <c r="Y18" s="160">
        <f t="shared" ref="Y18:Y30" si="13">IF(M18="","",X18+IF(AND(D18&lt;&gt;1, Y17&lt;&gt;""),Y17,0))</f>
        <v>831</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1369</v>
      </c>
      <c r="AE18" s="160">
        <f t="shared" ref="AE18:AE30" si="17">IF(M18="","",AD18-IF(AND(D18&lt;&gt;1, AD17&lt;&gt;""),AD17,0))</f>
        <v>1369</v>
      </c>
      <c r="AF18" s="160">
        <f>IF(OR($B$8="ONWAAR", M18=""), "", MAX(MIN(S18, AC18*MIN(1, V18))-AA18*MIN(1, V18), 0))</f>
        <v>0</v>
      </c>
      <c r="AG18" s="160">
        <f t="shared" ref="AG18:AG30" si="18">IF(OR(M18="", AF18=""),"",AF18-IF(AND(D18&lt;&gt;1, AF17&lt;&gt;""),AF17,0))</f>
        <v>0</v>
      </c>
      <c r="AH18" s="161">
        <f t="shared" ref="AH18:AH30" ca="1" si="19">IF($M18="", "", AE18*INDIRECT(CONCATENATE("premiepct", YEAR(F18))))</f>
        <v>406.59299999999996</v>
      </c>
      <c r="AI18" s="161">
        <f ca="1">IF(OR($F$4=FALSE, M18=""), "", AG18*INDIRECT(CONCATENATE("premiepct", YEAR($F18))))</f>
        <v>0</v>
      </c>
      <c r="AJ18" s="161"/>
      <c r="AK18" s="161"/>
      <c r="AL18" s="164">
        <f ca="1">IF(M18="","",SUM(AH18:AK18))</f>
        <v>406.59299999999996</v>
      </c>
    </row>
    <row r="19" spans="1:38" s="113" customFormat="1" ht="15.65" customHeight="1" x14ac:dyDescent="0.25">
      <c r="A19" s="127" t="s">
        <v>190</v>
      </c>
      <c r="B19" s="126"/>
      <c r="C19" s="200"/>
      <c r="D19" s="163">
        <f t="shared" ref="D19:G30" si="20">D3</f>
        <v>2</v>
      </c>
      <c r="E19" s="150" t="str">
        <f t="shared" si="20"/>
        <v>februari</v>
      </c>
      <c r="F19" s="151">
        <f t="shared" si="20"/>
        <v>46419</v>
      </c>
      <c r="G19" s="151">
        <f t="shared" si="20"/>
        <v>46446</v>
      </c>
      <c r="H19" s="189">
        <f t="shared" si="1"/>
        <v>10</v>
      </c>
      <c r="I19" s="192">
        <f t="shared" si="2"/>
        <v>228</v>
      </c>
      <c r="J19" s="189">
        <f>IF($E19="","",IF($E20="",SUM(H19:H$30),H19))</f>
        <v>10</v>
      </c>
      <c r="K19" s="192">
        <f>IF($E19="","",IF($E20="",SUM(I19:I$30),I19))</f>
        <v>228</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2428</v>
      </c>
      <c r="T19" s="157">
        <f t="shared" si="10"/>
        <v>110</v>
      </c>
      <c r="U19" s="157">
        <f t="shared" si="11"/>
        <v>346.66666666666669</v>
      </c>
      <c r="V19" s="158">
        <f t="shared" ref="V19:V30" si="22">IF(M19="","",T19/U19)</f>
        <v>0.31730769230769229</v>
      </c>
      <c r="W19" s="159">
        <f>IF(M19="","",VLOOKUP($B$6,rekenwaarden!M$8:N$12,2))</f>
        <v>8.31</v>
      </c>
      <c r="X19" s="160">
        <f t="shared" si="12"/>
        <v>83.100000000000009</v>
      </c>
      <c r="Y19" s="160">
        <f t="shared" si="13"/>
        <v>914.1</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1513.9</v>
      </c>
      <c r="AE19" s="160">
        <f t="shared" si="17"/>
        <v>144.90000000000009</v>
      </c>
      <c r="AF19" s="160">
        <f t="shared" ref="AF19:AF30" si="23">IF(OR($B$8="ONWAAR", M19=""), "", MAX(MIN(S19, AC19*MIN(1, V19))-AA19*MIN(1, V19), 0))</f>
        <v>0</v>
      </c>
      <c r="AG19" s="160">
        <f t="shared" si="18"/>
        <v>0</v>
      </c>
      <c r="AH19" s="161">
        <f t="shared" ca="1" si="19"/>
        <v>43.035300000000028</v>
      </c>
      <c r="AI19" s="161">
        <f t="shared" ref="AI19:AI30" ca="1" si="24">IF(OR($F$4=FALSE, M19=""), "", AG19*INDIRECT(CONCATENATE("premiepct", YEAR($F19))))</f>
        <v>0</v>
      </c>
      <c r="AJ19" s="161"/>
      <c r="AK19" s="161"/>
      <c r="AL19" s="164">
        <f t="shared" ref="AL19:AL30" ca="1" si="25">IF(M19="","",SUM(AH19:AK19))</f>
        <v>43.035300000000028</v>
      </c>
    </row>
    <row r="20" spans="1:38" s="113" customFormat="1" ht="15.65" customHeight="1" x14ac:dyDescent="0.25">
      <c r="A20" s="125"/>
      <c r="B20" s="126"/>
      <c r="C20" s="200"/>
      <c r="D20" s="163">
        <f t="shared" si="20"/>
        <v>3</v>
      </c>
      <c r="E20" s="150" t="str">
        <f t="shared" si="20"/>
        <v>maart</v>
      </c>
      <c r="F20" s="151">
        <f t="shared" si="20"/>
        <v>46447</v>
      </c>
      <c r="G20" s="151">
        <f t="shared" si="20"/>
        <v>46477</v>
      </c>
      <c r="H20" s="188">
        <f t="shared" si="1"/>
        <v>0</v>
      </c>
      <c r="I20" s="191">
        <f t="shared" si="2"/>
        <v>0</v>
      </c>
      <c r="J20" s="188">
        <f>IF($E20="","",IF($E21="",SUM(H20:H$30),H20))</f>
        <v>0</v>
      </c>
      <c r="K20" s="191">
        <f>IF($E20="","",IF($E21="",SUM(I20:I$30),I20))</f>
        <v>0</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2428</v>
      </c>
      <c r="T20" s="157">
        <f t="shared" si="10"/>
        <v>110</v>
      </c>
      <c r="U20" s="157">
        <f t="shared" si="11"/>
        <v>520</v>
      </c>
      <c r="V20" s="158">
        <f t="shared" si="22"/>
        <v>0.21153846153846154</v>
      </c>
      <c r="W20" s="159">
        <f>IF(M20="","",VLOOKUP($B$6,rekenwaarden!M$8:N$12,2))</f>
        <v>8.31</v>
      </c>
      <c r="X20" s="160">
        <f t="shared" si="12"/>
        <v>0</v>
      </c>
      <c r="Y20" s="160">
        <f t="shared" si="13"/>
        <v>914.1</v>
      </c>
      <c r="Z20" s="160">
        <f>IF(M20="","", VLOOKUP(B$6,rekenwaarden!M$8:T$12,3)*Q20)</f>
        <v>6617.4166666666661</v>
      </c>
      <c r="AA20" s="160">
        <f t="shared" si="14"/>
        <v>19852.25</v>
      </c>
      <c r="AB20" s="160">
        <f>IF(M20="","", VLOOKUP($B$6,rekenwaarden!M$8:T$12,4)*Q20)</f>
        <v>11483.333333333332</v>
      </c>
      <c r="AC20" s="160">
        <f t="shared" si="15"/>
        <v>34450</v>
      </c>
      <c r="AD20" s="160">
        <f t="shared" si="16"/>
        <v>1513.9</v>
      </c>
      <c r="AE20" s="160">
        <f t="shared" si="17"/>
        <v>0</v>
      </c>
      <c r="AF20" s="160">
        <f t="shared" si="23"/>
        <v>0</v>
      </c>
      <c r="AG20" s="160">
        <f t="shared" si="18"/>
        <v>0</v>
      </c>
      <c r="AH20" s="161">
        <f t="shared" ca="1" si="19"/>
        <v>0</v>
      </c>
      <c r="AI20" s="161">
        <f t="shared" ca="1" si="24"/>
        <v>0</v>
      </c>
      <c r="AJ20" s="161"/>
      <c r="AK20" s="161"/>
      <c r="AL20" s="164">
        <f t="shared" ca="1" si="25"/>
        <v>0</v>
      </c>
    </row>
    <row r="21" spans="1:38" s="113" customFormat="1" ht="15.65" customHeight="1" x14ac:dyDescent="0.25">
      <c r="A21" s="125"/>
      <c r="B21" s="126"/>
      <c r="C21" s="200"/>
      <c r="D21" s="163">
        <f t="shared" si="20"/>
        <v>4</v>
      </c>
      <c r="E21" s="150" t="str">
        <f t="shared" si="20"/>
        <v>april</v>
      </c>
      <c r="F21" s="151">
        <f t="shared" si="20"/>
        <v>46478</v>
      </c>
      <c r="G21" s="151">
        <f t="shared" si="20"/>
        <v>46507</v>
      </c>
      <c r="H21" s="189">
        <f t="shared" si="1"/>
        <v>0</v>
      </c>
      <c r="I21" s="192">
        <f t="shared" si="2"/>
        <v>0</v>
      </c>
      <c r="J21" s="189">
        <f>IF($E21="","",IF($E22="",SUM(H21:H$30),H21))</f>
        <v>0</v>
      </c>
      <c r="K21" s="192">
        <f>IF($E21="","",IF($E22="",SUM(I21:I$30),I21))</f>
        <v>0</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2428</v>
      </c>
      <c r="T21" s="157">
        <f t="shared" si="10"/>
        <v>110</v>
      </c>
      <c r="U21" s="157">
        <f t="shared" si="11"/>
        <v>693.33333333333337</v>
      </c>
      <c r="V21" s="158">
        <f t="shared" si="22"/>
        <v>0.15865384615384615</v>
      </c>
      <c r="W21" s="159">
        <f>IF(M21="","",VLOOKUP($B$6,rekenwaarden!M$8:N$12,2))</f>
        <v>8.31</v>
      </c>
      <c r="X21" s="160">
        <f t="shared" si="12"/>
        <v>0</v>
      </c>
      <c r="Y21" s="160">
        <f t="shared" si="13"/>
        <v>914.1</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1513.9</v>
      </c>
      <c r="AE21" s="160">
        <f t="shared" si="17"/>
        <v>0</v>
      </c>
      <c r="AF21" s="160">
        <f t="shared" si="23"/>
        <v>0</v>
      </c>
      <c r="AG21" s="160">
        <f t="shared" si="18"/>
        <v>0</v>
      </c>
      <c r="AH21" s="161">
        <f t="shared" ca="1" si="19"/>
        <v>0</v>
      </c>
      <c r="AI21" s="161">
        <f t="shared" ca="1" si="24"/>
        <v>0</v>
      </c>
      <c r="AJ21" s="161"/>
      <c r="AK21" s="161"/>
      <c r="AL21" s="164">
        <f t="shared" ca="1" si="25"/>
        <v>0</v>
      </c>
    </row>
    <row r="22" spans="1:38" s="113" customFormat="1" ht="15.65" customHeight="1" x14ac:dyDescent="0.25">
      <c r="A22" s="125"/>
      <c r="B22" s="126"/>
      <c r="C22" s="200"/>
      <c r="D22" s="163">
        <f t="shared" si="20"/>
        <v>5</v>
      </c>
      <c r="E22" s="150" t="str">
        <f t="shared" si="20"/>
        <v>mei</v>
      </c>
      <c r="F22" s="151">
        <f t="shared" si="20"/>
        <v>46508</v>
      </c>
      <c r="G22" s="151">
        <f t="shared" si="20"/>
        <v>46538</v>
      </c>
      <c r="H22" s="188">
        <f t="shared" si="1"/>
        <v>200</v>
      </c>
      <c r="I22" s="191">
        <f t="shared" si="2"/>
        <v>5400</v>
      </c>
      <c r="J22" s="188">
        <f>IF($E22="","",IF($E23="",SUM(H22:H$30),H22))</f>
        <v>200</v>
      </c>
      <c r="K22" s="191">
        <f>IF($E22="","",IF($E23="",SUM(I22:I$30),I22))</f>
        <v>5400</v>
      </c>
      <c r="L22" s="152">
        <f t="shared" si="3"/>
        <v>40</v>
      </c>
      <c r="M22" s="151">
        <f t="shared" si="4"/>
        <v>46508</v>
      </c>
      <c r="N22" s="151">
        <f t="shared" si="5"/>
        <v>46538</v>
      </c>
      <c r="O22" s="150">
        <f t="shared" si="21"/>
        <v>31</v>
      </c>
      <c r="P22" s="153">
        <f t="shared" si="6"/>
        <v>1</v>
      </c>
      <c r="Q22" s="154">
        <f t="shared" si="7"/>
        <v>8.3333333333333329E-2</v>
      </c>
      <c r="R22" s="155">
        <f t="shared" si="8"/>
        <v>173.33333333333334</v>
      </c>
      <c r="S22" s="156">
        <f t="shared" si="9"/>
        <v>7828</v>
      </c>
      <c r="T22" s="157">
        <f t="shared" si="10"/>
        <v>310</v>
      </c>
      <c r="U22" s="157">
        <f t="shared" si="11"/>
        <v>866.66666666666674</v>
      </c>
      <c r="V22" s="158">
        <f t="shared" si="22"/>
        <v>0.35769230769230764</v>
      </c>
      <c r="W22" s="159">
        <f>IF(M22="","",VLOOKUP($B$6,rekenwaarden!M$8:N$12,2))</f>
        <v>8.31</v>
      </c>
      <c r="X22" s="160">
        <f t="shared" si="12"/>
        <v>1662</v>
      </c>
      <c r="Y22" s="160">
        <f t="shared" si="13"/>
        <v>2576.1</v>
      </c>
      <c r="Z22" s="160">
        <f>IF(M22="","", VLOOKUP(B$6,rekenwaarden!M$8:T$12,3)*Q22)</f>
        <v>6617.4166666666661</v>
      </c>
      <c r="AA22" s="160">
        <f t="shared" si="14"/>
        <v>33087.083333333328</v>
      </c>
      <c r="AB22" s="160">
        <f>IF(M22="","", VLOOKUP($B$6,rekenwaarden!M$8:T$12,4)*Q22)</f>
        <v>11483.333333333332</v>
      </c>
      <c r="AC22" s="160">
        <f t="shared" si="15"/>
        <v>57416.666666666657</v>
      </c>
      <c r="AD22" s="160">
        <f t="shared" si="16"/>
        <v>5251.9</v>
      </c>
      <c r="AE22" s="160">
        <f t="shared" si="17"/>
        <v>3737.9999999999995</v>
      </c>
      <c r="AF22" s="160">
        <f t="shared" si="23"/>
        <v>0</v>
      </c>
      <c r="AG22" s="160">
        <f t="shared" si="18"/>
        <v>0</v>
      </c>
      <c r="AH22" s="161">
        <f t="shared" ca="1" si="19"/>
        <v>1110.1859999999999</v>
      </c>
      <c r="AI22" s="161">
        <f t="shared" ca="1" si="24"/>
        <v>0</v>
      </c>
      <c r="AJ22" s="161"/>
      <c r="AK22" s="161"/>
      <c r="AL22" s="164">
        <f t="shared" ca="1" si="25"/>
        <v>1110.1859999999999</v>
      </c>
    </row>
    <row r="23" spans="1:38" s="113" customFormat="1" ht="15.65" customHeight="1" x14ac:dyDescent="0.25">
      <c r="A23" s="125"/>
      <c r="B23" s="126"/>
      <c r="C23" s="200"/>
      <c r="D23" s="163">
        <f t="shared" si="20"/>
        <v>6</v>
      </c>
      <c r="E23" s="150" t="str">
        <f t="shared" si="20"/>
        <v>juni</v>
      </c>
      <c r="F23" s="151">
        <f t="shared" si="20"/>
        <v>46539</v>
      </c>
      <c r="G23" s="151">
        <f t="shared" si="20"/>
        <v>46568</v>
      </c>
      <c r="H23" s="189">
        <f t="shared" si="1"/>
        <v>2</v>
      </c>
      <c r="I23" s="192">
        <f t="shared" si="2"/>
        <v>-700</v>
      </c>
      <c r="J23" s="189">
        <f>IF($E23="","",IF($E24="",SUM(H23:H$30),H23))</f>
        <v>2</v>
      </c>
      <c r="K23" s="192">
        <f>IF($E23="","",IF($E24="",SUM(I23:I$30),I23))</f>
        <v>-700</v>
      </c>
      <c r="L23" s="152">
        <f t="shared" si="3"/>
        <v>40</v>
      </c>
      <c r="M23" s="151">
        <f t="shared" si="4"/>
        <v>46539</v>
      </c>
      <c r="N23" s="151">
        <f t="shared" si="5"/>
        <v>46568</v>
      </c>
      <c r="O23" s="150">
        <f t="shared" si="21"/>
        <v>30</v>
      </c>
      <c r="P23" s="153">
        <f t="shared" si="6"/>
        <v>1</v>
      </c>
      <c r="Q23" s="154">
        <f t="shared" si="7"/>
        <v>8.3333333333333329E-2</v>
      </c>
      <c r="R23" s="155">
        <f t="shared" si="8"/>
        <v>173.33333333333334</v>
      </c>
      <c r="S23" s="156">
        <f t="shared" si="9"/>
        <v>7128</v>
      </c>
      <c r="T23" s="157">
        <f t="shared" si="10"/>
        <v>312</v>
      </c>
      <c r="U23" s="157">
        <f t="shared" si="11"/>
        <v>1040</v>
      </c>
      <c r="V23" s="158">
        <f t="shared" si="22"/>
        <v>0.3</v>
      </c>
      <c r="W23" s="159">
        <f>IF(M23="","",VLOOKUP($B$6,rekenwaarden!M$8:N$12,2))</f>
        <v>8.31</v>
      </c>
      <c r="X23" s="160">
        <f t="shared" si="12"/>
        <v>16.62</v>
      </c>
      <c r="Y23" s="160">
        <f t="shared" si="13"/>
        <v>2592.7199999999998</v>
      </c>
      <c r="Z23" s="160">
        <f>IF(M23="","", VLOOKUP(B$6,rekenwaarden!M$8:T$12,3)*Q23)</f>
        <v>6617.4166666666661</v>
      </c>
      <c r="AA23" s="160">
        <f t="shared" si="14"/>
        <v>39704.499999999993</v>
      </c>
      <c r="AB23" s="160">
        <f>IF(M23="","", VLOOKUP($B$6,rekenwaarden!M$8:T$12,4)*Q23)</f>
        <v>11483.333333333332</v>
      </c>
      <c r="AC23" s="160">
        <f t="shared" si="15"/>
        <v>68899.999999999985</v>
      </c>
      <c r="AD23" s="160">
        <f t="shared" si="16"/>
        <v>4535.2800000000007</v>
      </c>
      <c r="AE23" s="160">
        <f t="shared" si="17"/>
        <v>-716.61999999999898</v>
      </c>
      <c r="AF23" s="160">
        <f t="shared" si="23"/>
        <v>0</v>
      </c>
      <c r="AG23" s="160">
        <f t="shared" si="18"/>
        <v>0</v>
      </c>
      <c r="AH23" s="161">
        <f t="shared" ca="1" si="19"/>
        <v>-212.83613999999969</v>
      </c>
      <c r="AI23" s="161">
        <f t="shared" ca="1" si="24"/>
        <v>0</v>
      </c>
      <c r="AJ23" s="161"/>
      <c r="AK23" s="161"/>
      <c r="AL23" s="164">
        <f t="shared" ca="1" si="25"/>
        <v>-212.83613999999969</v>
      </c>
    </row>
    <row r="24" spans="1:38" s="113" customFormat="1" ht="15.65" customHeight="1" x14ac:dyDescent="0.25">
      <c r="A24" s="125"/>
      <c r="B24" s="126"/>
      <c r="C24" s="200"/>
      <c r="D24" s="163">
        <f t="shared" si="20"/>
        <v>7</v>
      </c>
      <c r="E24" s="150" t="str">
        <f t="shared" si="20"/>
        <v>juli</v>
      </c>
      <c r="F24" s="151">
        <f t="shared" si="20"/>
        <v>46569</v>
      </c>
      <c r="G24" s="151">
        <f t="shared" si="20"/>
        <v>46599</v>
      </c>
      <c r="H24" s="188">
        <f t="shared" si="1"/>
        <v>0</v>
      </c>
      <c r="I24" s="191">
        <f t="shared" si="2"/>
        <v>0</v>
      </c>
      <c r="J24" s="188">
        <f>IF($E24="","",IF($E25="",SUM(H24:H$30),H24))</f>
        <v>0</v>
      </c>
      <c r="K24" s="191">
        <f>IF($E24="","",IF($E25="",SUM(I24:I$30),I24))</f>
        <v>0</v>
      </c>
      <c r="L24" s="152">
        <f t="shared" si="3"/>
        <v>40</v>
      </c>
      <c r="M24" s="151">
        <f t="shared" si="4"/>
        <v>46569</v>
      </c>
      <c r="N24" s="151">
        <f t="shared" si="5"/>
        <v>46599</v>
      </c>
      <c r="O24" s="150">
        <f t="shared" si="21"/>
        <v>31</v>
      </c>
      <c r="P24" s="153">
        <f t="shared" si="6"/>
        <v>1</v>
      </c>
      <c r="Q24" s="154">
        <f t="shared" si="7"/>
        <v>8.3333333333333329E-2</v>
      </c>
      <c r="R24" s="155">
        <f t="shared" si="8"/>
        <v>173.33333333333334</v>
      </c>
      <c r="S24" s="156">
        <f t="shared" si="9"/>
        <v>7128</v>
      </c>
      <c r="T24" s="157">
        <f t="shared" si="10"/>
        <v>312</v>
      </c>
      <c r="U24" s="157">
        <f t="shared" si="11"/>
        <v>1213.3333333333333</v>
      </c>
      <c r="V24" s="158">
        <f t="shared" si="22"/>
        <v>0.25714285714285717</v>
      </c>
      <c r="W24" s="159">
        <f>IF(M24="","",VLOOKUP($B$6,rekenwaarden!M$8:N$12,2))</f>
        <v>8.31</v>
      </c>
      <c r="X24" s="160">
        <f t="shared" si="12"/>
        <v>0</v>
      </c>
      <c r="Y24" s="160">
        <f t="shared" si="13"/>
        <v>2592.7199999999998</v>
      </c>
      <c r="Z24" s="160">
        <f>IF(M24="","", VLOOKUP(B$6,rekenwaarden!M$8:T$12,3)*Q24)</f>
        <v>6617.4166666666661</v>
      </c>
      <c r="AA24" s="160">
        <f t="shared" si="14"/>
        <v>46321.916666666657</v>
      </c>
      <c r="AB24" s="160">
        <f>IF(M24="","", VLOOKUP($B$6,rekenwaarden!M$8:T$12,4)*Q24)</f>
        <v>11483.333333333332</v>
      </c>
      <c r="AC24" s="160">
        <f t="shared" si="15"/>
        <v>80383.333333333314</v>
      </c>
      <c r="AD24" s="160">
        <f t="shared" si="16"/>
        <v>4535.2800000000007</v>
      </c>
      <c r="AE24" s="160">
        <f t="shared" si="17"/>
        <v>0</v>
      </c>
      <c r="AF24" s="160">
        <f t="shared" si="23"/>
        <v>0</v>
      </c>
      <c r="AG24" s="160">
        <f t="shared" si="18"/>
        <v>0</v>
      </c>
      <c r="AH24" s="161">
        <f t="shared" ca="1" si="19"/>
        <v>0</v>
      </c>
      <c r="AI24" s="161">
        <f t="shared" ca="1" si="24"/>
        <v>0</v>
      </c>
      <c r="AJ24" s="161"/>
      <c r="AK24" s="161"/>
      <c r="AL24" s="164">
        <f t="shared" ca="1" si="25"/>
        <v>0</v>
      </c>
    </row>
    <row r="25" spans="1:38" s="113" customFormat="1" ht="15.65" customHeight="1" x14ac:dyDescent="0.25">
      <c r="A25" s="125"/>
      <c r="B25" s="126"/>
      <c r="C25" s="200"/>
      <c r="D25" s="163" t="str">
        <f t="shared" si="20"/>
        <v/>
      </c>
      <c r="E25" s="150" t="str">
        <f t="shared" si="20"/>
        <v/>
      </c>
      <c r="F25" s="151" t="str">
        <f t="shared" si="20"/>
        <v/>
      </c>
      <c r="G25" s="151" t="str">
        <f t="shared" si="20"/>
        <v/>
      </c>
      <c r="H25" s="189" t="str">
        <f t="shared" si="1"/>
        <v/>
      </c>
      <c r="I25" s="192" t="str">
        <f t="shared" si="2"/>
        <v/>
      </c>
      <c r="J25" s="189" t="str">
        <f>IF($E25="","",IF($E26="",SUM(H25:H$30),H25))</f>
        <v/>
      </c>
      <c r="K25" s="192" t="str">
        <f>IF($E25="","",IF($E26="",SUM(I25:I$30),I25))</f>
        <v/>
      </c>
      <c r="L25" s="152" t="str">
        <f t="shared" si="3"/>
        <v/>
      </c>
      <c r="M25" s="151" t="str">
        <f t="shared" si="4"/>
        <v/>
      </c>
      <c r="N25" s="151" t="str">
        <f t="shared" si="5"/>
        <v/>
      </c>
      <c r="O25" s="150" t="str">
        <f t="shared" si="21"/>
        <v/>
      </c>
      <c r="P25" s="153" t="str">
        <f t="shared" si="6"/>
        <v/>
      </c>
      <c r="Q25" s="154" t="str">
        <f t="shared" si="7"/>
        <v/>
      </c>
      <c r="R25" s="155" t="str">
        <f t="shared" si="8"/>
        <v/>
      </c>
      <c r="S25" s="156" t="str">
        <f t="shared" si="9"/>
        <v/>
      </c>
      <c r="T25" s="157" t="str">
        <f t="shared" si="10"/>
        <v/>
      </c>
      <c r="U25" s="157" t="str">
        <f t="shared" si="11"/>
        <v/>
      </c>
      <c r="V25" s="158" t="str">
        <f t="shared" si="22"/>
        <v/>
      </c>
      <c r="W25" s="159" t="str">
        <f>IF(M25="","",VLOOKUP($B$6,rekenwaarden!M$8:N$12,2))</f>
        <v/>
      </c>
      <c r="X25" s="160" t="str">
        <f t="shared" si="12"/>
        <v/>
      </c>
      <c r="Y25" s="160" t="str">
        <f t="shared" si="13"/>
        <v/>
      </c>
      <c r="Z25" s="160" t="str">
        <f>IF(M25="","", VLOOKUP(B$6,rekenwaarden!M$8:T$12,3)*Q25)</f>
        <v/>
      </c>
      <c r="AA25" s="160" t="str">
        <f t="shared" si="14"/>
        <v/>
      </c>
      <c r="AB25" s="160" t="str">
        <f>IF(M25="","", VLOOKUP($B$6,rekenwaarden!M$8:T$12,4)*Q25)</f>
        <v/>
      </c>
      <c r="AC25" s="160" t="str">
        <f t="shared" si="15"/>
        <v/>
      </c>
      <c r="AD25" s="160" t="str">
        <f t="shared" si="16"/>
        <v/>
      </c>
      <c r="AE25" s="160" t="str">
        <f t="shared" si="17"/>
        <v/>
      </c>
      <c r="AF25" s="160" t="str">
        <f t="shared" si="23"/>
        <v/>
      </c>
      <c r="AG25" s="160" t="str">
        <f t="shared" si="18"/>
        <v/>
      </c>
      <c r="AH25" s="161" t="str">
        <f t="shared" ca="1" si="19"/>
        <v/>
      </c>
      <c r="AI25" s="161" t="str">
        <f t="shared" ca="1" si="24"/>
        <v/>
      </c>
      <c r="AJ25" s="161"/>
      <c r="AK25" s="161"/>
      <c r="AL25" s="164" t="str">
        <f t="shared" si="25"/>
        <v/>
      </c>
    </row>
    <row r="26" spans="1:38" s="113" customFormat="1" ht="15.65" customHeight="1" x14ac:dyDescent="0.25">
      <c r="A26" s="125"/>
      <c r="B26" s="126"/>
      <c r="C26" s="200"/>
      <c r="D26" s="163" t="str">
        <f t="shared" si="20"/>
        <v/>
      </c>
      <c r="E26" s="150" t="str">
        <f t="shared" si="20"/>
        <v/>
      </c>
      <c r="F26" s="151" t="str">
        <f t="shared" si="20"/>
        <v/>
      </c>
      <c r="G26" s="151" t="str">
        <f t="shared" si="20"/>
        <v/>
      </c>
      <c r="H26" s="188" t="str">
        <f t="shared" si="1"/>
        <v/>
      </c>
      <c r="I26" s="191" t="str">
        <f t="shared" si="2"/>
        <v/>
      </c>
      <c r="J26" s="188" t="str">
        <f>IF($E26="","",IF($E27="",SUM(H26:H$30),H26))</f>
        <v/>
      </c>
      <c r="K26" s="191" t="str">
        <f>IF($E26="","",IF($E27="",SUM(I26:I$30),I26))</f>
        <v/>
      </c>
      <c r="L26" s="152" t="str">
        <f t="shared" si="3"/>
        <v/>
      </c>
      <c r="M26" s="151" t="str">
        <f t="shared" si="4"/>
        <v/>
      </c>
      <c r="N26" s="151" t="str">
        <f t="shared" si="5"/>
        <v/>
      </c>
      <c r="O26" s="150" t="str">
        <f t="shared" si="21"/>
        <v/>
      </c>
      <c r="P26" s="153" t="str">
        <f t="shared" si="6"/>
        <v/>
      </c>
      <c r="Q26" s="154" t="str">
        <f t="shared" si="7"/>
        <v/>
      </c>
      <c r="R26" s="155" t="str">
        <f t="shared" si="8"/>
        <v/>
      </c>
      <c r="S26" s="156" t="str">
        <f t="shared" si="9"/>
        <v/>
      </c>
      <c r="T26" s="157" t="str">
        <f t="shared" si="10"/>
        <v/>
      </c>
      <c r="U26" s="157" t="str">
        <f t="shared" si="11"/>
        <v/>
      </c>
      <c r="V26" s="158" t="str">
        <f t="shared" si="22"/>
        <v/>
      </c>
      <c r="W26" s="159" t="str">
        <f>IF(M26="","",VLOOKUP($B$6,rekenwaarden!M$8:N$12,2))</f>
        <v/>
      </c>
      <c r="X26" s="160" t="str">
        <f t="shared" si="12"/>
        <v/>
      </c>
      <c r="Y26" s="160" t="str">
        <f t="shared" si="13"/>
        <v/>
      </c>
      <c r="Z26" s="160" t="str">
        <f>IF(M26="","", VLOOKUP(B$6,rekenwaarden!M$8:T$12,3)*Q26)</f>
        <v/>
      </c>
      <c r="AA26" s="160" t="str">
        <f t="shared" si="14"/>
        <v/>
      </c>
      <c r="AB26" s="160" t="str">
        <f>IF(M26="","", VLOOKUP($B$6,rekenwaarden!M$8:T$12,4)*Q26)</f>
        <v/>
      </c>
      <c r="AC26" s="160" t="str">
        <f t="shared" si="15"/>
        <v/>
      </c>
      <c r="AD26" s="160" t="str">
        <f t="shared" si="16"/>
        <v/>
      </c>
      <c r="AE26" s="160" t="str">
        <f t="shared" si="17"/>
        <v/>
      </c>
      <c r="AF26" s="160" t="str">
        <f t="shared" si="23"/>
        <v/>
      </c>
      <c r="AG26" s="160" t="str">
        <f t="shared" si="18"/>
        <v/>
      </c>
      <c r="AH26" s="161" t="str">
        <f t="shared" ca="1" si="19"/>
        <v/>
      </c>
      <c r="AI26" s="161" t="str">
        <f t="shared" ca="1" si="24"/>
        <v/>
      </c>
      <c r="AJ26" s="161"/>
      <c r="AK26" s="161"/>
      <c r="AL26" s="164" t="str">
        <f t="shared" si="25"/>
        <v/>
      </c>
    </row>
    <row r="27" spans="1:38" s="113" customFormat="1" ht="15.65" customHeight="1" x14ac:dyDescent="0.25">
      <c r="A27" s="125"/>
      <c r="B27" s="126"/>
      <c r="C27" s="200"/>
      <c r="D27" s="163" t="str">
        <f t="shared" si="20"/>
        <v/>
      </c>
      <c r="E27" s="150" t="str">
        <f t="shared" si="20"/>
        <v/>
      </c>
      <c r="F27" s="151" t="str">
        <f t="shared" si="20"/>
        <v/>
      </c>
      <c r="G27" s="151" t="str">
        <f t="shared" si="20"/>
        <v/>
      </c>
      <c r="H27" s="189" t="str">
        <f t="shared" si="1"/>
        <v/>
      </c>
      <c r="I27" s="192" t="str">
        <f t="shared" si="2"/>
        <v/>
      </c>
      <c r="J27" s="189" t="str">
        <f>IF($E27="","",IF($E28="",SUM(H27:H$30),H27))</f>
        <v/>
      </c>
      <c r="K27" s="192" t="str">
        <f>IF($E27="","",IF($E28="",SUM(I27:I$30),I27))</f>
        <v/>
      </c>
      <c r="L27" s="152" t="str">
        <f t="shared" si="3"/>
        <v/>
      </c>
      <c r="M27" s="151" t="str">
        <f t="shared" si="4"/>
        <v/>
      </c>
      <c r="N27" s="151" t="str">
        <f t="shared" si="5"/>
        <v/>
      </c>
      <c r="O27" s="150" t="str">
        <f t="shared" si="21"/>
        <v/>
      </c>
      <c r="P27" s="153" t="str">
        <f t="shared" si="6"/>
        <v/>
      </c>
      <c r="Q27" s="154" t="str">
        <f t="shared" si="7"/>
        <v/>
      </c>
      <c r="R27" s="155" t="str">
        <f t="shared" si="8"/>
        <v/>
      </c>
      <c r="S27" s="156" t="str">
        <f t="shared" si="9"/>
        <v/>
      </c>
      <c r="T27" s="157" t="str">
        <f t="shared" si="10"/>
        <v/>
      </c>
      <c r="U27" s="157" t="str">
        <f t="shared" si="11"/>
        <v/>
      </c>
      <c r="V27" s="158" t="str">
        <f t="shared" si="22"/>
        <v/>
      </c>
      <c r="W27" s="159" t="str">
        <f>IF(M27="","",VLOOKUP($B$6,rekenwaarden!M$8:N$12,2))</f>
        <v/>
      </c>
      <c r="X27" s="160" t="str">
        <f t="shared" si="12"/>
        <v/>
      </c>
      <c r="Y27" s="160" t="str">
        <f t="shared" si="13"/>
        <v/>
      </c>
      <c r="Z27" s="160" t="str">
        <f>IF(M27="","", VLOOKUP(B$6,rekenwaarden!M$8:T$12,3)*Q27)</f>
        <v/>
      </c>
      <c r="AA27" s="160" t="str">
        <f t="shared" si="14"/>
        <v/>
      </c>
      <c r="AB27" s="160" t="str">
        <f>IF(M27="","", VLOOKUP($B$6,rekenwaarden!M$8:T$12,4)*Q27)</f>
        <v/>
      </c>
      <c r="AC27" s="160" t="str">
        <f t="shared" si="15"/>
        <v/>
      </c>
      <c r="AD27" s="160" t="str">
        <f t="shared" si="16"/>
        <v/>
      </c>
      <c r="AE27" s="160" t="str">
        <f t="shared" si="17"/>
        <v/>
      </c>
      <c r="AF27" s="160" t="str">
        <f t="shared" si="23"/>
        <v/>
      </c>
      <c r="AG27" s="160" t="str">
        <f t="shared" si="18"/>
        <v/>
      </c>
      <c r="AH27" s="161" t="str">
        <f t="shared" ca="1" si="19"/>
        <v/>
      </c>
      <c r="AI27" s="161" t="str">
        <f t="shared" ca="1" si="24"/>
        <v/>
      </c>
      <c r="AJ27" s="161"/>
      <c r="AK27" s="161"/>
      <c r="AL27" s="164" t="str">
        <f t="shared" si="25"/>
        <v/>
      </c>
    </row>
    <row r="28" spans="1:38" s="113" customFormat="1" ht="15.65" customHeight="1" x14ac:dyDescent="0.25">
      <c r="A28" s="125"/>
      <c r="B28" s="126"/>
      <c r="C28" s="200"/>
      <c r="D28" s="163" t="str">
        <f t="shared" si="20"/>
        <v/>
      </c>
      <c r="E28" s="150" t="str">
        <f t="shared" si="20"/>
        <v/>
      </c>
      <c r="F28" s="151" t="str">
        <f t="shared" si="20"/>
        <v/>
      </c>
      <c r="G28" s="151" t="str">
        <f t="shared" si="20"/>
        <v/>
      </c>
      <c r="H28" s="188" t="str">
        <f t="shared" si="1"/>
        <v/>
      </c>
      <c r="I28" s="191" t="str">
        <f t="shared" si="2"/>
        <v/>
      </c>
      <c r="J28" s="188" t="str">
        <f>IF($E28="","",IF($E29="",SUM(H28:H$30),H28))</f>
        <v/>
      </c>
      <c r="K28" s="191" t="str">
        <f>IF($E28="","",IF($E29="",SUM(I28:I$30),I28))</f>
        <v/>
      </c>
      <c r="L28" s="152" t="str">
        <f t="shared" si="3"/>
        <v/>
      </c>
      <c r="M28" s="151" t="str">
        <f t="shared" si="4"/>
        <v/>
      </c>
      <c r="N28" s="151" t="str">
        <f t="shared" si="5"/>
        <v/>
      </c>
      <c r="O28" s="150" t="str">
        <f t="shared" si="21"/>
        <v/>
      </c>
      <c r="P28" s="153" t="str">
        <f t="shared" si="6"/>
        <v/>
      </c>
      <c r="Q28" s="154" t="str">
        <f t="shared" si="7"/>
        <v/>
      </c>
      <c r="R28" s="155" t="str">
        <f t="shared" si="8"/>
        <v/>
      </c>
      <c r="S28" s="156" t="str">
        <f t="shared" si="9"/>
        <v/>
      </c>
      <c r="T28" s="157" t="str">
        <f t="shared" si="10"/>
        <v/>
      </c>
      <c r="U28" s="157" t="str">
        <f t="shared" si="11"/>
        <v/>
      </c>
      <c r="V28" s="158" t="str">
        <f t="shared" si="22"/>
        <v/>
      </c>
      <c r="W28" s="159" t="str">
        <f>IF(M28="","",VLOOKUP($B$6,rekenwaarden!M$8:N$12,2))</f>
        <v/>
      </c>
      <c r="X28" s="160" t="str">
        <f t="shared" si="12"/>
        <v/>
      </c>
      <c r="Y28" s="160" t="str">
        <f t="shared" si="13"/>
        <v/>
      </c>
      <c r="Z28" s="160" t="str">
        <f>IF(M28="","", VLOOKUP(B$6,rekenwaarden!M$8:T$12,3)*Q28)</f>
        <v/>
      </c>
      <c r="AA28" s="160" t="str">
        <f t="shared" si="14"/>
        <v/>
      </c>
      <c r="AB28" s="160" t="str">
        <f>IF(M28="","", VLOOKUP($B$6,rekenwaarden!M$8:T$12,4)*Q28)</f>
        <v/>
      </c>
      <c r="AC28" s="160" t="str">
        <f t="shared" si="15"/>
        <v/>
      </c>
      <c r="AD28" s="160" t="str">
        <f t="shared" si="16"/>
        <v/>
      </c>
      <c r="AE28" s="160" t="str">
        <f t="shared" si="17"/>
        <v/>
      </c>
      <c r="AF28" s="160" t="str">
        <f t="shared" si="23"/>
        <v/>
      </c>
      <c r="AG28" s="160" t="str">
        <f t="shared" si="18"/>
        <v/>
      </c>
      <c r="AH28" s="161" t="str">
        <f t="shared" ca="1" si="19"/>
        <v/>
      </c>
      <c r="AI28" s="161" t="str">
        <f t="shared" ca="1" si="24"/>
        <v/>
      </c>
      <c r="AJ28" s="161"/>
      <c r="AK28" s="161"/>
      <c r="AL28" s="164" t="str">
        <f t="shared" si="25"/>
        <v/>
      </c>
    </row>
    <row r="29" spans="1:38" s="113" customFormat="1" ht="15.65" customHeight="1" x14ac:dyDescent="0.25">
      <c r="A29" s="125"/>
      <c r="B29" s="126"/>
      <c r="C29" s="200"/>
      <c r="D29" s="163" t="str">
        <f t="shared" si="20"/>
        <v/>
      </c>
      <c r="E29" s="150" t="str">
        <f t="shared" si="20"/>
        <v/>
      </c>
      <c r="F29" s="151" t="str">
        <f t="shared" si="20"/>
        <v/>
      </c>
      <c r="G29" s="151" t="str">
        <f t="shared" si="20"/>
        <v/>
      </c>
      <c r="H29" s="189" t="str">
        <f t="shared" si="1"/>
        <v/>
      </c>
      <c r="I29" s="192" t="str">
        <f t="shared" si="2"/>
        <v/>
      </c>
      <c r="J29" s="189" t="str">
        <f>IF($E29="","",IF($E30="",SUM(H29:H$30),H29))</f>
        <v/>
      </c>
      <c r="K29" s="192" t="str">
        <f>IF($E29="","",IF($E30="",SUM(I29:I$30),I29))</f>
        <v/>
      </c>
      <c r="L29" s="152" t="str">
        <f t="shared" si="3"/>
        <v/>
      </c>
      <c r="M29" s="151" t="str">
        <f t="shared" si="4"/>
        <v/>
      </c>
      <c r="N29" s="151" t="str">
        <f t="shared" si="5"/>
        <v/>
      </c>
      <c r="O29" s="150" t="str">
        <f t="shared" si="21"/>
        <v/>
      </c>
      <c r="P29" s="153" t="str">
        <f t="shared" si="6"/>
        <v/>
      </c>
      <c r="Q29" s="154" t="str">
        <f t="shared" si="7"/>
        <v/>
      </c>
      <c r="R29" s="155" t="str">
        <f t="shared" si="8"/>
        <v/>
      </c>
      <c r="S29" s="156" t="str">
        <f t="shared" si="9"/>
        <v/>
      </c>
      <c r="T29" s="157" t="str">
        <f t="shared" si="10"/>
        <v/>
      </c>
      <c r="U29" s="157" t="str">
        <f t="shared" si="11"/>
        <v/>
      </c>
      <c r="V29" s="158" t="str">
        <f t="shared" si="22"/>
        <v/>
      </c>
      <c r="W29" s="159" t="str">
        <f>IF(M29="","",VLOOKUP($B$6,rekenwaarden!M$8:N$12,2))</f>
        <v/>
      </c>
      <c r="X29" s="160" t="str">
        <f t="shared" si="12"/>
        <v/>
      </c>
      <c r="Y29" s="160" t="str">
        <f t="shared" si="13"/>
        <v/>
      </c>
      <c r="Z29" s="160" t="str">
        <f>IF(M29="","", VLOOKUP(B$6,rekenwaarden!M$8:T$12,3)*Q29)</f>
        <v/>
      </c>
      <c r="AA29" s="160" t="str">
        <f t="shared" si="14"/>
        <v/>
      </c>
      <c r="AB29" s="160" t="str">
        <f>IF(M29="","", VLOOKUP($B$6,rekenwaarden!M$8:T$12,4)*Q29)</f>
        <v/>
      </c>
      <c r="AC29" s="160" t="str">
        <f t="shared" si="15"/>
        <v/>
      </c>
      <c r="AD29" s="160" t="str">
        <f t="shared" si="16"/>
        <v/>
      </c>
      <c r="AE29" s="160" t="str">
        <f t="shared" si="17"/>
        <v/>
      </c>
      <c r="AF29" s="160" t="str">
        <f t="shared" si="23"/>
        <v/>
      </c>
      <c r="AG29" s="160" t="str">
        <f t="shared" si="18"/>
        <v/>
      </c>
      <c r="AH29" s="161" t="str">
        <f t="shared" ca="1" si="19"/>
        <v/>
      </c>
      <c r="AI29" s="161" t="str">
        <f t="shared" ca="1" si="24"/>
        <v/>
      </c>
      <c r="AJ29" s="161"/>
      <c r="AK29" s="161"/>
      <c r="AL29" s="164" t="str">
        <f t="shared" si="25"/>
        <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row r="33" spans="1:1" x14ac:dyDescent="0.25">
      <c r="A33" s="217"/>
    </row>
  </sheetData>
  <sheetProtection algorithmName="SHA-512" hashValue="uCtiA/XU1WBVa3jv5MlRjOXEiaHI55XU9aNQo+4+zzBZNkRFvWWchWoirYEuTWIjq//3Y4dVbdRJHc2DSjqoFQ==" saltValue="IXAzSIZJBKfcOTkIEN6IWg==" spinCount="100000" sheet="1" objects="1" scenarios="1"/>
  <protectedRanges>
    <protectedRange sqref="K2:U14" name="Loonaangiftebericht"/>
    <protectedRange sqref="B1:B9" name="Persoon en IKV"/>
  </protectedRanges>
  <mergeCells count="2">
    <mergeCell ref="A11:B11"/>
    <mergeCell ref="D17:E17"/>
  </mergeCells>
  <dataValidations count="8">
    <dataValidation type="list" allowBlank="1" showInputMessage="1" showErrorMessage="1" sqref="B2" xr:uid="{FD23925E-DC2B-4F65-A148-9D1F43952359}">
      <formula1>"Maandelijks,Vierwekelijks"</formula1>
    </dataValidation>
    <dataValidation type="list" allowBlank="1" showInputMessage="1" showErrorMessage="1" sqref="B8:C8" xr:uid="{520647D3-1E95-4DF6-8ACC-8A1C2D734585}">
      <formula1>"WAAR,NIET WAAR"</formula1>
    </dataValidation>
    <dataValidation type="list" allowBlank="1" showInputMessage="1" showErrorMessage="1" sqref="B1:C1" xr:uid="{20097028-DD09-4D9E-B306-5878944FC6BF}">
      <formula1>"2027,2028"</formula1>
    </dataValidation>
    <dataValidation type="list" allowBlank="1" showInputMessage="1" showErrorMessage="1" sqref="C2" xr:uid="{460C5735-A1BD-4DFB-BE8A-32A5150C45F2}">
      <formula1>"maandelijks,vierwekelijks"</formula1>
    </dataValidation>
    <dataValidation type="list" allowBlank="1" showInputMessage="1" showErrorMessage="1" sqref="L2:L14" xr:uid="{661F784A-84A4-47C6-811C-EF5E11653FE5}">
      <formula1>Code_Soort_IKV</formula1>
    </dataValidation>
    <dataValidation type="list" allowBlank="1" showInputMessage="1" showErrorMessage="1" sqref="M2:M14" xr:uid="{031787F2-3B56-4064-9C3C-77BFC509FA69}">
      <formula1>Code_Aard_Arbeidsverhouding</formula1>
    </dataValidation>
    <dataValidation type="list" allowBlank="1" showInputMessage="1" showErrorMessage="1" sqref="K2:K14" xr:uid="{F14227FE-43B9-48C1-8332-E6991BCCDE69}">
      <formula1>Code_Reden_Einde_Arbeidsverhouding</formula1>
    </dataValidation>
    <dataValidation type="whole" allowBlank="1" showInputMessage="1" showErrorMessage="1" promptTitle="Handboek Loonheffingen: " prompt="Rekenkundig afgeronde hele uren" sqref="N2:N14" xr:uid="{E6002D0F-25FC-488C-B98D-C0C2A4523B7D}">
      <formula1>-999</formula1>
      <formula2>999</formula2>
    </dataValidation>
  </dataValidations>
  <pageMargins left="0.7" right="0.7" top="0.75" bottom="0.75" header="0.3" footer="0.3"/>
  <ignoredErrors>
    <ignoredError sqref="L18:L30" unlockedFormula="1"/>
  </ignoredErrors>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BA8347F-1812-4331-8D77-053615EF7ABB}">
          <x14:formula1>
            <xm:f>rekenwaarden!$M$8:$M$12</xm:f>
          </x14:formula1>
          <xm:sqref>B6:C6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81BC6-CBFD-404A-9339-00FE21D02E97}">
  <sheetPr>
    <tabColor theme="7" tint="-0.249977111117893"/>
  </sheetPr>
  <dimension ref="A1:AL33"/>
  <sheetViews>
    <sheetView showGridLines="0" zoomScale="90" zoomScaleNormal="90" workbookViewId="0">
      <pane xSplit="2" ySplit="30" topLeftCell="J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8164062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6.453125" bestFit="1" customWidth="1"/>
    <col min="22" max="33" width="15.81640625" customWidth="1"/>
    <col min="34" max="34" width="19.453125" bestFit="1" customWidth="1"/>
    <col min="35" max="35" width="20.453125" customWidth="1"/>
    <col min="36" max="36" width="12.81640625" bestFit="1" customWidth="1"/>
    <col min="37" max="37" width="17.1796875"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114" t="s">
        <v>18</v>
      </c>
      <c r="W1" s="121" t="s">
        <v>61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IF(OR(Datum_Einde_IKV="",Tabel1351011[[#This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IF(Tabel1351011[[#This Row],[Inkomsten-periode]]="","",DATEDIF(Geboortedatum,Tabel1351011[[#This Row],[DatEindTv]],"Y"))</f>
        <v>24</v>
      </c>
      <c r="I2" s="146">
        <f>IF(Tabel1351011[[#This Row],[Inkomsten-periode]]="","",IF(Datum_Aanvang_IKV="","",Datum_Aanvang_IKV))</f>
        <v>46388</v>
      </c>
      <c r="J2" s="146" t="str">
        <f>IF(Tabel1351011[[#This Row],[Inkomsten-periode]]="","",IF(Datum_Einde_IKV="","",IF(Datum_Einde_IKV&lt;=Tabel1351011[[#This Row],[DatEindTv]],Datum_Einde_IKV,"")))</f>
        <v/>
      </c>
      <c r="K2" s="138"/>
      <c r="L2" s="138">
        <v>15</v>
      </c>
      <c r="M2" s="138">
        <v>1</v>
      </c>
      <c r="N2" s="139">
        <v>0</v>
      </c>
      <c r="O2" s="140">
        <v>0</v>
      </c>
      <c r="P2" s="140">
        <v>0</v>
      </c>
      <c r="Q2" s="140">
        <v>0</v>
      </c>
      <c r="R2" s="140">
        <v>0</v>
      </c>
      <c r="S2" s="140">
        <v>0</v>
      </c>
      <c r="T2" s="140">
        <v>0</v>
      </c>
      <c r="U2" s="140"/>
      <c r="V2" s="184">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Row],[OpnAvwb]],0))))</f>
        <v>0</v>
      </c>
      <c r="W2" s="185">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Row],[AantVerlU]],0))))</f>
        <v>0</v>
      </c>
      <c r="X2" s="184" t="str">
        <f>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f>
        <v/>
      </c>
      <c r="Y2" s="185" t="str">
        <f>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Row],[AantVerlU]],"")),"")</f>
        <v/>
      </c>
    </row>
    <row r="3" spans="1:38" s="113" customFormat="1" ht="16.399999999999999" customHeight="1" x14ac:dyDescent="0.25">
      <c r="A3" s="122" t="s">
        <v>21</v>
      </c>
      <c r="B3" s="133">
        <v>37473</v>
      </c>
      <c r="C3" s="202"/>
      <c r="D3" s="145">
        <f>IF(OR(Datum_Einde_IKV&gt;G2,Datum_Einde_IKV=""),IF(AND($B$2="Maandelijks", COUNTIF($D$1:D2, 12)=1), "",IF(OR(AND($B$2="Maandelijks", D2=12),AND($B$2="Vierwekelijks", D2=13), D2 = "Periode"), 1, D2+1)),"")</f>
        <v>2</v>
      </c>
      <c r="E3" s="145" t="str">
        <f>IF(OR(Datum_Einde_IKV="",Tabel1351011[[#This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IF(Tabel1351011[[#This Row],[Inkomsten-periode]]="","",DATEDIF(Geboortedatum,Tabel1351011[[#This Row],[DatEindTv]],"Y"))</f>
        <v>24</v>
      </c>
      <c r="I3" s="146">
        <f>IF(Tabel1351011[[#This Row],[Inkomsten-periode]]="","",IF(Datum_Aanvang_IKV="","",Datum_Aanvang_IKV))</f>
        <v>46388</v>
      </c>
      <c r="J3" s="146" t="str">
        <f>IF(Tabel1351011[[#This Row],[Inkomsten-periode]]="","",IF(Datum_Einde_IKV="","",IF(Datum_Einde_IKV&lt;=Tabel1351011[[#This Row],[DatEindTv]],Datum_Einde_IKV,"")))</f>
        <v/>
      </c>
      <c r="K3" s="141"/>
      <c r="L3" s="141">
        <v>15</v>
      </c>
      <c r="M3" s="141">
        <v>1</v>
      </c>
      <c r="N3" s="142">
        <v>10</v>
      </c>
      <c r="O3" s="143">
        <v>200</v>
      </c>
      <c r="P3" s="143">
        <v>0</v>
      </c>
      <c r="Q3" s="143">
        <v>16</v>
      </c>
      <c r="R3" s="143">
        <v>0</v>
      </c>
      <c r="S3" s="143">
        <v>0</v>
      </c>
      <c r="T3" s="143">
        <v>200</v>
      </c>
      <c r="U3" s="143"/>
      <c r="V3" s="184">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Row],[OpnAvwb]],0))))</f>
        <v>216</v>
      </c>
      <c r="W3" s="186">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Row],[AantVerlU]],0))))</f>
        <v>10</v>
      </c>
      <c r="X3" s="184" t="str">
        <f>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f>
        <v/>
      </c>
      <c r="Y3" s="186" t="str">
        <f>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Row],[AantVerlU]],"")),"")</f>
        <v/>
      </c>
    </row>
    <row r="4" spans="1:38" s="113" customFormat="1" ht="16.399999999999999" customHeight="1" x14ac:dyDescent="0.25">
      <c r="A4" s="122" t="s">
        <v>22</v>
      </c>
      <c r="B4" s="134">
        <v>46388</v>
      </c>
      <c r="C4" s="202"/>
      <c r="D4" s="144">
        <f>IF(OR(Datum_Einde_IKV&gt;G3,Datum_Einde_IKV=""),IF(AND($B$2="Maandelijks", COUNTIF($D$1:D3, 12)=1), "",IF(OR(AND($B$2="Maandelijks", D3=12),AND($B$2="Vierwekelijks", D3=13), D3 = "Periode"), 1, D3+1)),"")</f>
        <v>3</v>
      </c>
      <c r="E4" s="145" t="str">
        <f>IF(OR(Datum_Einde_IKV="",Tabel1351011[[#This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IF(Tabel1351011[[#This Row],[Inkomsten-periode]]="","",DATEDIF(Geboortedatum,Tabel1351011[[#This Row],[DatEindTv]],"Y"))</f>
        <v>24</v>
      </c>
      <c r="I4" s="146">
        <f>IF(Tabel1351011[[#This Row],[Inkomsten-periode]]="","",IF(Datum_Aanvang_IKV="","",Datum_Aanvang_IKV))</f>
        <v>46388</v>
      </c>
      <c r="J4" s="146" t="str">
        <f>IF(Tabel1351011[[#This Row],[Inkomsten-periode]]="","",IF(Datum_Einde_IKV="","",IF(Datum_Einde_IKV&lt;=Tabel1351011[[#This Row],[DatEindTv]],Datum_Einde_IKV,"")))</f>
        <v/>
      </c>
      <c r="K4" s="138"/>
      <c r="L4" s="138">
        <v>15</v>
      </c>
      <c r="M4" s="138">
        <v>1</v>
      </c>
      <c r="N4" s="139">
        <v>173</v>
      </c>
      <c r="O4" s="140">
        <v>3460</v>
      </c>
      <c r="P4" s="140">
        <v>0</v>
      </c>
      <c r="Q4" s="140">
        <v>276.8</v>
      </c>
      <c r="R4" s="140">
        <v>0</v>
      </c>
      <c r="S4" s="140">
        <v>0</v>
      </c>
      <c r="T4" s="140">
        <v>3460</v>
      </c>
      <c r="U4" s="140"/>
      <c r="V4" s="184">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Row],[OpnAvwb]],0))))</f>
        <v>3736.8</v>
      </c>
      <c r="W4" s="186">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Row],[AantVerlU]],0))))</f>
        <v>173</v>
      </c>
      <c r="X4" s="184" t="str">
        <f>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f>
        <v/>
      </c>
      <c r="Y4" s="186" t="str">
        <f>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Row],[AantVerlU]],"")),"")</f>
        <v/>
      </c>
    </row>
    <row r="5" spans="1:38" s="113" customFormat="1" ht="16.399999999999999" customHeight="1" x14ac:dyDescent="0.25">
      <c r="A5" s="122" t="s">
        <v>23</v>
      </c>
      <c r="B5" s="133"/>
      <c r="C5" s="202"/>
      <c r="D5" s="145">
        <f>IF(OR(Datum_Einde_IKV&gt;G4,Datum_Einde_IKV=""),IF(AND($B$2="Maandelijks", COUNTIF($D$1:D4, 12)=1), "",IF(OR(AND($B$2="Maandelijks", D4=12),AND($B$2="Vierwekelijks", D4=13), D4 = "Periode"), 1, D4+1)),"")</f>
        <v>4</v>
      </c>
      <c r="E5" s="145" t="str">
        <f>IF(OR(Datum_Einde_IKV="",Tabel1351011[[#This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IF(Tabel1351011[[#This Row],[Inkomsten-periode]]="","",DATEDIF(Geboortedatum,Tabel1351011[[#This Row],[DatEindTv]],"Y"))</f>
        <v>24</v>
      </c>
      <c r="I5" s="146">
        <f>IF(Tabel1351011[[#This Row],[Inkomsten-periode]]="","",IF(Datum_Aanvang_IKV="","",Datum_Aanvang_IKV))</f>
        <v>46388</v>
      </c>
      <c r="J5" s="146" t="str">
        <f>IF(Tabel1351011[[#This Row],[Inkomsten-periode]]="","",IF(Datum_Einde_IKV="","",IF(Datum_Einde_IKV&lt;=Tabel1351011[[#This Row],[DatEindTv]],Datum_Einde_IKV,"")))</f>
        <v/>
      </c>
      <c r="K5" s="141"/>
      <c r="L5" s="141">
        <v>15</v>
      </c>
      <c r="M5" s="141">
        <v>1</v>
      </c>
      <c r="N5" s="142">
        <v>193</v>
      </c>
      <c r="O5" s="143">
        <v>3860</v>
      </c>
      <c r="P5" s="143">
        <v>0</v>
      </c>
      <c r="Q5" s="143">
        <v>308.8</v>
      </c>
      <c r="R5" s="143">
        <v>0</v>
      </c>
      <c r="S5" s="143">
        <v>0</v>
      </c>
      <c r="T5" s="143">
        <v>3860</v>
      </c>
      <c r="U5" s="143"/>
      <c r="V5" s="184">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Row],[OpnAvwb]],0))))</f>
        <v>4168.8</v>
      </c>
      <c r="W5" s="186">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Row],[AantVerlU]],0))))</f>
        <v>193</v>
      </c>
      <c r="X5" s="184" t="str">
        <f>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f>
        <v/>
      </c>
      <c r="Y5" s="186" t="str">
        <f>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Row],[AantVerlU]],"")),"")</f>
        <v/>
      </c>
    </row>
    <row r="6" spans="1:38" s="113" customFormat="1" ht="16.399999999999999" customHeight="1" x14ac:dyDescent="0.25">
      <c r="A6" s="122" t="s">
        <v>24</v>
      </c>
      <c r="B6" s="135" t="s">
        <v>25</v>
      </c>
      <c r="C6" s="203"/>
      <c r="D6" s="144">
        <f>IF(OR(Datum_Einde_IKV&gt;G5,Datum_Einde_IKV=""),IF(AND($B$2="Maandelijks", COUNTIF($D$1:D5, 12)=1), "",IF(OR(AND($B$2="Maandelijks", D5=12),AND($B$2="Vierwekelijks", D5=13), D5 = "Periode"), 1, D5+1)),"")</f>
        <v>5</v>
      </c>
      <c r="E6" s="145" t="str">
        <f>IF(OR(Datum_Einde_IKV="",Tabel1351011[[#This Row],[DatAanvTv]]&lt;Datum_Einde_IKV),IF(E5="december","",IF(Verloningsperiodiciteit="maandelijks",rekenwaarden!F7,_xlfn.CONCAT("Periode ",rekenwaarden!E7))),"")</f>
        <v>mei</v>
      </c>
      <c r="F6" s="146">
        <f t="shared" si="0"/>
        <v>46508</v>
      </c>
      <c r="G6" s="146">
        <f>IF(F6="", "", IF(Verloningsperiodiciteit="Vierwekelijks", _xlfn.XLOOKUP(F6,rekenwaarden!$C$3:$C$54,rekenwaarden!$D$3:$D$54,"niet gevonden",-1), _xlfn.XLOOKUP(F6,rekenwaarden!$I$3:$I$54,rekenwaarden!$J$3:$J$54,"niet gevonden",-1)))</f>
        <v>46538</v>
      </c>
      <c r="H6" s="147">
        <f>IF(Tabel1351011[[#This Row],[Inkomsten-periode]]="","",DATEDIF(Geboortedatum,Tabel1351011[[#This Row],[DatEindTv]],"Y"))</f>
        <v>24</v>
      </c>
      <c r="I6" s="146">
        <f>IF(Tabel1351011[[#This Row],[Inkomsten-periode]]="","",IF(Datum_Aanvang_IKV="","",Datum_Aanvang_IKV))</f>
        <v>46388</v>
      </c>
      <c r="J6" s="146" t="str">
        <f>IF(Tabel1351011[[#This Row],[Inkomsten-periode]]="","",IF(Datum_Einde_IKV="","",IF(Datum_Einde_IKV&lt;=Tabel1351011[[#This Row],[DatEindTv]],Datum_Einde_IKV,"")))</f>
        <v/>
      </c>
      <c r="K6" s="138"/>
      <c r="L6" s="138">
        <v>15</v>
      </c>
      <c r="M6" s="138">
        <v>1</v>
      </c>
      <c r="N6" s="139">
        <v>-20</v>
      </c>
      <c r="O6" s="140">
        <v>1500</v>
      </c>
      <c r="P6" s="140">
        <v>0</v>
      </c>
      <c r="Q6" s="140">
        <v>0</v>
      </c>
      <c r="R6" s="140">
        <v>0</v>
      </c>
      <c r="S6" s="140">
        <v>0</v>
      </c>
      <c r="T6" s="140">
        <v>1500</v>
      </c>
      <c r="U6" s="140"/>
      <c r="V6" s="184">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Row],[OpnAvwb]],0))))</f>
        <v>1500</v>
      </c>
      <c r="W6" s="186">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Row],[AantVerlU]],0))))</f>
        <v>-20</v>
      </c>
      <c r="X6" s="184" t="str">
        <f>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f>
        <v/>
      </c>
      <c r="Y6" s="186" t="str">
        <f>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Row],[AantVerlU]],"")),"")</f>
        <v/>
      </c>
    </row>
    <row r="7" spans="1:38" s="113" customFormat="1" ht="16.399999999999999" customHeight="1" x14ac:dyDescent="0.25">
      <c r="A7" s="122" t="s">
        <v>26</v>
      </c>
      <c r="B7" s="136">
        <f>VLOOKUP(B6,rekenwaarden!M8:T12,8)</f>
        <v>40</v>
      </c>
      <c r="C7" s="204"/>
      <c r="D7" s="145">
        <f>IF(OR(Datum_Einde_IKV&gt;G6,Datum_Einde_IKV=""),IF(AND($B$2="Maandelijks", COUNTIF($D$1:D6, 12)=1), "",IF(OR(AND($B$2="Maandelijks", D6=12),AND($B$2="Vierwekelijks", D6=13), D6 = "Periode"), 1, D6+1)),"")</f>
        <v>6</v>
      </c>
      <c r="E7" s="145" t="str">
        <f>IF(OR(Datum_Einde_IKV="",Tabel1351011[[#This Row],[DatAanvTv]]&lt;Datum_Einde_IKV),IF(E6="december","",IF(Verloningsperiodiciteit="maandelijks",rekenwaarden!F8,_xlfn.CONCAT("Periode ",rekenwaarden!E8))),"")</f>
        <v>juni</v>
      </c>
      <c r="F7" s="146">
        <f t="shared" si="0"/>
        <v>46539</v>
      </c>
      <c r="G7" s="146">
        <f>IF(F7="", "", IF(Verloningsperiodiciteit="Vierwekelijks", _xlfn.XLOOKUP(F7,rekenwaarden!$C$3:$C$54,rekenwaarden!$D$3:$D$54,"niet gevonden",-1), _xlfn.XLOOKUP(F7,rekenwaarden!$I$3:$I$54,rekenwaarden!$J$3:$J$54,"niet gevonden",-1)))</f>
        <v>46568</v>
      </c>
      <c r="H7" s="147">
        <f>IF(Tabel1351011[[#This Row],[Inkomsten-periode]]="","",DATEDIF(Geboortedatum,Tabel1351011[[#This Row],[DatEindTv]],"Y"))</f>
        <v>24</v>
      </c>
      <c r="I7" s="146">
        <f>IF(Tabel1351011[[#This Row],[Inkomsten-periode]]="","",IF(Datum_Aanvang_IKV="","",Datum_Aanvang_IKV))</f>
        <v>46388</v>
      </c>
      <c r="J7" s="146" t="str">
        <f>IF(Tabel1351011[[#This Row],[Inkomsten-periode]]="","",IF(Datum_Einde_IKV="","",IF(Datum_Einde_IKV&lt;=Tabel1351011[[#This Row],[DatEindTv]],Datum_Einde_IKV,"")))</f>
        <v/>
      </c>
      <c r="K7" s="141"/>
      <c r="L7" s="141">
        <v>15</v>
      </c>
      <c r="M7" s="141">
        <v>1</v>
      </c>
      <c r="N7" s="142">
        <v>80</v>
      </c>
      <c r="O7" s="143">
        <v>1600</v>
      </c>
      <c r="P7" s="143">
        <v>0</v>
      </c>
      <c r="Q7" s="143">
        <v>128</v>
      </c>
      <c r="R7" s="143">
        <v>0</v>
      </c>
      <c r="S7" s="143">
        <v>0</v>
      </c>
      <c r="T7" s="143">
        <v>1600</v>
      </c>
      <c r="U7" s="143"/>
      <c r="V7" s="184">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Row],[OpnAvwb]],0))))</f>
        <v>1728</v>
      </c>
      <c r="W7" s="186">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Row],[AantVerlU]],0))))</f>
        <v>80</v>
      </c>
      <c r="X7" s="184" t="str">
        <f>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f>
        <v/>
      </c>
      <c r="Y7" s="186" t="str">
        <f>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Row],[AantVerlU]],"")),"")</f>
        <v/>
      </c>
    </row>
    <row r="8" spans="1:38" s="113" customFormat="1" ht="16.399999999999999" customHeight="1" x14ac:dyDescent="0.25">
      <c r="A8" s="122" t="s">
        <v>27</v>
      </c>
      <c r="B8" s="137" t="b">
        <v>1</v>
      </c>
      <c r="C8" s="202"/>
      <c r="D8" s="144">
        <f>IF(OR(Datum_Einde_IKV&gt;G7,Datum_Einde_IKV=""),IF(AND($B$2="Maandelijks", COUNTIF($D$1:D7, 12)=1), "",IF(OR(AND($B$2="Maandelijks", D7=12),AND($B$2="Vierwekelijks", D7=13), D7 = "Periode"), 1, D7+1)),"")</f>
        <v>7</v>
      </c>
      <c r="E8" s="145" t="str">
        <f>IF(OR(Datum_Einde_IKV="",Tabel1351011[[#This Row],[DatAanvTv]]&lt;Datum_Einde_IKV),IF(E7="december","",IF(Verloningsperiodiciteit="maandelijks",rekenwaarden!F9,_xlfn.CONCAT("Periode ",rekenwaarden!E9))),"")</f>
        <v>juli</v>
      </c>
      <c r="F8" s="146">
        <f t="shared" si="0"/>
        <v>46569</v>
      </c>
      <c r="G8" s="146">
        <f>IF(F8="", "", IF(Verloningsperiodiciteit="Vierwekelijks", _xlfn.XLOOKUP(F8,rekenwaarden!$C$3:$C$54,rekenwaarden!$D$3:$D$54,"niet gevonden",-1), _xlfn.XLOOKUP(F8,rekenwaarden!$I$3:$I$54,rekenwaarden!$J$3:$J$54,"niet gevonden",-1)))</f>
        <v>46599</v>
      </c>
      <c r="H8" s="147">
        <f>IF(Tabel1351011[[#This Row],[Inkomsten-periode]]="","",DATEDIF(Geboortedatum,Tabel1351011[[#This Row],[DatEindTv]],"Y"))</f>
        <v>24</v>
      </c>
      <c r="I8" s="146">
        <f>IF(Tabel1351011[[#This Row],[Inkomsten-periode]]="","",IF(Datum_Aanvang_IKV="","",Datum_Aanvang_IKV))</f>
        <v>46388</v>
      </c>
      <c r="J8" s="146" t="str">
        <f>IF(Tabel1351011[[#This Row],[Inkomsten-periode]]="","",IF(Datum_Einde_IKV="","",IF(Datum_Einde_IKV&lt;=Tabel1351011[[#This Row],[DatEindTv]],Datum_Einde_IKV,"")))</f>
        <v/>
      </c>
      <c r="K8" s="138"/>
      <c r="L8" s="138">
        <v>15</v>
      </c>
      <c r="M8" s="138">
        <v>1</v>
      </c>
      <c r="N8" s="139">
        <v>80</v>
      </c>
      <c r="O8" s="140">
        <v>1600</v>
      </c>
      <c r="P8" s="140">
        <v>0</v>
      </c>
      <c r="Q8" s="140">
        <v>128</v>
      </c>
      <c r="R8" s="140">
        <v>0</v>
      </c>
      <c r="S8" s="140">
        <v>0</v>
      </c>
      <c r="T8" s="140">
        <v>1600</v>
      </c>
      <c r="U8" s="140"/>
      <c r="V8" s="184">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Row],[OpnAvwb]],0))))</f>
        <v>1728</v>
      </c>
      <c r="W8" s="186">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Row],[AantVerlU]],0))))</f>
        <v>80</v>
      </c>
      <c r="X8" s="184" t="str">
        <f>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f>
        <v/>
      </c>
      <c r="Y8" s="186" t="str">
        <f>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Row],[AantVerlU]],"")),"")</f>
        <v/>
      </c>
    </row>
    <row r="9" spans="1:38" s="113" customFormat="1" ht="16.399999999999999" customHeight="1" x14ac:dyDescent="0.25">
      <c r="A9" s="122"/>
      <c r="B9" s="131"/>
      <c r="C9" s="200"/>
      <c r="D9" s="145">
        <f>IF(OR(Datum_Einde_IKV&gt;G8,Datum_Einde_IKV=""),IF(AND($B$2="Maandelijks", COUNTIF($D$1:D8, 12)=1), "",IF(OR(AND($B$2="Maandelijks", D8=12),AND($B$2="Vierwekelijks", D8=13), D8 = "Periode"), 1, D8+1)),"")</f>
        <v>8</v>
      </c>
      <c r="E9" s="145" t="str">
        <f>IF(OR(Datum_Einde_IKV="",Tabel1351011[[#This Row],[DatAanvTv]]&lt;Datum_Einde_IKV),IF(E8="december","",IF(Verloningsperiodiciteit="maandelijks",rekenwaarden!F10,_xlfn.CONCAT("Periode ",rekenwaarden!E10))),"")</f>
        <v>augustus</v>
      </c>
      <c r="F9" s="146">
        <f t="shared" si="0"/>
        <v>46600</v>
      </c>
      <c r="G9" s="146">
        <f>IF(F9="", "", IF(Verloningsperiodiciteit="Vierwekelijks", _xlfn.XLOOKUP(F9,rekenwaarden!$C$3:$C$54,rekenwaarden!$D$3:$D$54,"niet gevonden",-1), _xlfn.XLOOKUP(F9,rekenwaarden!$I$3:$I$54,rekenwaarden!$J$3:$J$54,"niet gevonden",-1)))</f>
        <v>46630</v>
      </c>
      <c r="H9" s="147">
        <f>IF(Tabel1351011[[#This Row],[Inkomsten-periode]]="","",DATEDIF(Geboortedatum,Tabel1351011[[#This Row],[DatEindTv]],"Y"))</f>
        <v>25</v>
      </c>
      <c r="I9" s="146">
        <f>IF(Tabel1351011[[#This Row],[Inkomsten-periode]]="","",IF(Datum_Aanvang_IKV="","",Datum_Aanvang_IKV))</f>
        <v>46388</v>
      </c>
      <c r="J9" s="146" t="str">
        <f>IF(Tabel1351011[[#This Row],[Inkomsten-periode]]="","",IF(Datum_Einde_IKV="","",IF(Datum_Einde_IKV&lt;=Tabel1351011[[#This Row],[DatEindTv]],Datum_Einde_IKV,"")))</f>
        <v/>
      </c>
      <c r="K9" s="141"/>
      <c r="L9" s="141">
        <v>15</v>
      </c>
      <c r="M9" s="141">
        <v>1</v>
      </c>
      <c r="N9" s="142">
        <v>0</v>
      </c>
      <c r="O9" s="143">
        <v>0</v>
      </c>
      <c r="P9" s="143">
        <v>0</v>
      </c>
      <c r="Q9" s="143">
        <v>0</v>
      </c>
      <c r="R9" s="143">
        <v>0</v>
      </c>
      <c r="S9" s="143">
        <v>0</v>
      </c>
      <c r="T9" s="143">
        <v>0</v>
      </c>
      <c r="U9" s="143"/>
      <c r="V9" s="184">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Row],[OpnAvwb]],0))))</f>
        <v>0</v>
      </c>
      <c r="W9" s="186">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Row],[AantVerlU]],0))))</f>
        <v>0</v>
      </c>
      <c r="X9" s="184"/>
      <c r="Y9" s="186"/>
    </row>
    <row r="10" spans="1:38" s="113" customFormat="1" ht="16.399999999999999" customHeight="1" thickBot="1" x14ac:dyDescent="0.3">
      <c r="A10" s="200"/>
      <c r="B10" s="200"/>
      <c r="C10" s="200"/>
      <c r="D10" s="144">
        <f>IF(OR(Datum_Einde_IKV&gt;G9,Datum_Einde_IKV=""),IF(AND($B$2="Maandelijks", COUNTIF($D$1:D9, 12)=1), "",IF(OR(AND($B$2="Maandelijks", D9=12),AND($B$2="Vierwekelijks", D9=13), D9 = "Periode"), 1, D9+1)),"")</f>
        <v>9</v>
      </c>
      <c r="E10" s="145" t="str">
        <f>IF(OR(Datum_Einde_IKV="",Tabel1351011[[#This Row],[DatAanvTv]]&lt;Datum_Einde_IKV),IF(E9="december","",IF(Verloningsperiodiciteit="maandelijks",rekenwaarden!F11,_xlfn.CONCAT("Periode ",rekenwaarden!E11))),"")</f>
        <v>september</v>
      </c>
      <c r="F10" s="146">
        <f t="shared" si="0"/>
        <v>46631</v>
      </c>
      <c r="G10" s="146">
        <f>IF(F10="", "", IF(Verloningsperiodiciteit="Vierwekelijks", _xlfn.XLOOKUP(F10,rekenwaarden!$C$3:$C$54,rekenwaarden!$D$3:$D$54,"niet gevonden",-1), _xlfn.XLOOKUP(F10,rekenwaarden!$I$3:$I$54,rekenwaarden!$J$3:$J$54,"niet gevonden",-1)))</f>
        <v>46660</v>
      </c>
      <c r="H10" s="147">
        <f>IF(Tabel1351011[[#This Row],[Inkomsten-periode]]="","",DATEDIF(Geboortedatum,Tabel1351011[[#This Row],[DatEindTv]],"Y"))</f>
        <v>25</v>
      </c>
      <c r="I10" s="146">
        <f>IF(Tabel1351011[[#This Row],[Inkomsten-periode]]="","",IF(Datum_Aanvang_IKV="","",Datum_Aanvang_IKV))</f>
        <v>46388</v>
      </c>
      <c r="J10" s="146" t="str">
        <f>IF(Tabel1351011[[#This Row],[Inkomsten-periode]]="","",IF(Datum_Einde_IKV="","",IF(Datum_Einde_IKV&lt;=Tabel1351011[[#This Row],[DatEindTv]],Datum_Einde_IKV,"")))</f>
        <v/>
      </c>
      <c r="K10" s="138"/>
      <c r="L10" s="138">
        <v>15</v>
      </c>
      <c r="M10" s="138">
        <v>1</v>
      </c>
      <c r="N10" s="139">
        <v>180</v>
      </c>
      <c r="O10" s="140">
        <v>3600</v>
      </c>
      <c r="P10" s="140">
        <v>0</v>
      </c>
      <c r="Q10" s="140">
        <v>288</v>
      </c>
      <c r="R10" s="140">
        <v>0</v>
      </c>
      <c r="S10" s="140">
        <v>0</v>
      </c>
      <c r="T10" s="140">
        <v>3600</v>
      </c>
      <c r="U10" s="140"/>
      <c r="V10" s="184">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Row],[OpnAvwb]],0))))</f>
        <v>3888</v>
      </c>
      <c r="W10" s="186">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Row],[AantVerlU]],0))))</f>
        <v>180</v>
      </c>
      <c r="X10" s="184"/>
      <c r="Y10" s="186"/>
    </row>
    <row r="11" spans="1:38" s="113" customFormat="1" ht="16.399999999999999" customHeight="1" x14ac:dyDescent="0.25">
      <c r="A11" s="245" t="s">
        <v>65</v>
      </c>
      <c r="B11" s="246"/>
      <c r="C11" s="200"/>
      <c r="D11" s="145">
        <f>IF(OR(Datum_Einde_IKV&gt;G10,Datum_Einde_IKV=""),IF(AND($B$2="Maandelijks", COUNTIF($D$1:D10, 12)=1), "",IF(OR(AND($B$2="Maandelijks", D10=12),AND($B$2="Vierwekelijks", D10=13), D10 = "Periode"), 1, D10+1)),"")</f>
        <v>10</v>
      </c>
      <c r="E11" s="145" t="str">
        <f>IF(OR(Datum_Einde_IKV="",Tabel1351011[[#This Row],[DatAanvTv]]&lt;Datum_Einde_IKV),IF(E10="december","",IF(Verloningsperiodiciteit="maandelijks",rekenwaarden!F12,_xlfn.CONCAT("Periode ",rekenwaarden!E12))),"")</f>
        <v>oktober</v>
      </c>
      <c r="F11" s="146">
        <f t="shared" si="0"/>
        <v>46661</v>
      </c>
      <c r="G11" s="146">
        <f>IF(F11="", "", IF(Verloningsperiodiciteit="Vierwekelijks", _xlfn.XLOOKUP(F11,rekenwaarden!$C$3:$C$54,rekenwaarden!$D$3:$D$54,"niet gevonden",-1), _xlfn.XLOOKUP(F11,rekenwaarden!$I$3:$I$54,rekenwaarden!$J$3:$J$54,"niet gevonden",-1)))</f>
        <v>46691</v>
      </c>
      <c r="H11" s="147">
        <f>IF(Tabel1351011[[#This Row],[Inkomsten-periode]]="","",DATEDIF(Geboortedatum,Tabel1351011[[#This Row],[DatEindTv]],"Y"))</f>
        <v>25</v>
      </c>
      <c r="I11" s="146">
        <f>IF(Tabel1351011[[#This Row],[Inkomsten-periode]]="","",IF(Datum_Aanvang_IKV="","",Datum_Aanvang_IKV))</f>
        <v>46388</v>
      </c>
      <c r="J11" s="146" t="str">
        <f>IF(Tabel1351011[[#This Row],[Inkomsten-periode]]="","",IF(Datum_Einde_IKV="","",IF(Datum_Einde_IKV&lt;=Tabel1351011[[#This Row],[DatEindTv]],Datum_Einde_IKV,"")))</f>
        <v/>
      </c>
      <c r="K11" s="141"/>
      <c r="L11" s="141">
        <v>15</v>
      </c>
      <c r="M11" s="141">
        <v>1</v>
      </c>
      <c r="N11" s="142">
        <v>136</v>
      </c>
      <c r="O11" s="143">
        <v>2720</v>
      </c>
      <c r="P11" s="143">
        <v>0</v>
      </c>
      <c r="Q11" s="143">
        <v>217.6</v>
      </c>
      <c r="R11" s="143">
        <v>0</v>
      </c>
      <c r="S11" s="143">
        <v>0</v>
      </c>
      <c r="T11" s="143">
        <v>2720</v>
      </c>
      <c r="U11" s="143"/>
      <c r="V11" s="184">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Row],[OpnAvwb]],0))))</f>
        <v>2937.6</v>
      </c>
      <c r="W11" s="186">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Row],[AantVerlU]],0))))</f>
        <v>136</v>
      </c>
      <c r="X11" s="184"/>
      <c r="Y11" s="186"/>
    </row>
    <row r="12" spans="1:38" s="113" customFormat="1" ht="16.399999999999999" customHeight="1" x14ac:dyDescent="0.25">
      <c r="A12" s="125" t="s">
        <v>191</v>
      </c>
      <c r="B12" s="126"/>
      <c r="C12" s="200"/>
      <c r="D12" s="144">
        <f>IF(OR(Datum_Einde_IKV&gt;G11,Datum_Einde_IKV=""),IF(AND($B$2="Maandelijks", COUNTIF($D$1:D11, 12)=1), "",IF(OR(AND($B$2="Maandelijks", D11=12),AND($B$2="Vierwekelijks", D11=13), D11 = "Periode"), 1, D11+1)),"")</f>
        <v>11</v>
      </c>
      <c r="E12" s="145" t="str">
        <f>IF(OR(Datum_Einde_IKV="",Tabel1351011[[#This Row],[DatAanvTv]]&lt;Datum_Einde_IKV),IF(E11="december","",IF(Verloningsperiodiciteit="maandelijks",rekenwaarden!F13,_xlfn.CONCAT("Periode ",rekenwaarden!E13))),"")</f>
        <v>november</v>
      </c>
      <c r="F12" s="146">
        <f t="shared" si="0"/>
        <v>46692</v>
      </c>
      <c r="G12" s="146">
        <f>IF(F12="", "", IF(Verloningsperiodiciteit="Vierwekelijks", _xlfn.XLOOKUP(F12,rekenwaarden!$C$3:$C$54,rekenwaarden!$D$3:$D$54,"niet gevonden",-1), _xlfn.XLOOKUP(F12,rekenwaarden!$I$3:$I$54,rekenwaarden!$J$3:$J$54,"niet gevonden",-1)))</f>
        <v>46721</v>
      </c>
      <c r="H12" s="147">
        <f>IF(Tabel1351011[[#This Row],[Inkomsten-periode]]="","",DATEDIF(Geboortedatum,Tabel1351011[[#This Row],[DatEindTv]],"Y"))</f>
        <v>25</v>
      </c>
      <c r="I12" s="146">
        <f>IF(Tabel1351011[[#This Row],[Inkomsten-periode]]="","",IF(Datum_Aanvang_IKV="","",Datum_Aanvang_IKV))</f>
        <v>46388</v>
      </c>
      <c r="J12" s="146" t="str">
        <f>IF(Tabel1351011[[#This Row],[Inkomsten-periode]]="","",IF(Datum_Einde_IKV="","",IF(Datum_Einde_IKV&lt;=Tabel1351011[[#This Row],[DatEindTv]],Datum_Einde_IKV,"")))</f>
        <v/>
      </c>
      <c r="K12" s="138"/>
      <c r="L12" s="138">
        <v>15</v>
      </c>
      <c r="M12" s="138">
        <v>1</v>
      </c>
      <c r="N12" s="139">
        <v>0</v>
      </c>
      <c r="O12" s="140">
        <v>0</v>
      </c>
      <c r="P12" s="140">
        <v>0</v>
      </c>
      <c r="Q12" s="140">
        <v>0</v>
      </c>
      <c r="R12" s="140">
        <v>0</v>
      </c>
      <c r="S12" s="140">
        <v>0</v>
      </c>
      <c r="T12" s="140">
        <v>0</v>
      </c>
      <c r="U12" s="140"/>
      <c r="V12" s="184">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Row],[OpnAvwb]],0))))</f>
        <v>0</v>
      </c>
      <c r="W12" s="186">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Row],[AantVerlU]],0))))</f>
        <v>0</v>
      </c>
      <c r="X12" s="184"/>
      <c r="Y12" s="186"/>
    </row>
    <row r="13" spans="1:38" s="113" customFormat="1" ht="16.399999999999999" customHeight="1" x14ac:dyDescent="0.25">
      <c r="A13" s="125" t="s">
        <v>186</v>
      </c>
      <c r="B13" s="126"/>
      <c r="C13" s="200"/>
      <c r="D13" s="145">
        <f>IF(OR(Datum_Einde_IKV&gt;G12,Datum_Einde_IKV=""),IF(AND($B$2="Maandelijks", COUNTIF($D$1:D12, 12)=1), "",IF(OR(AND($B$2="Maandelijks", D12=12),AND($B$2="Vierwekelijks", D12=13), D12 = "Periode"), 1, D12+1)),"")</f>
        <v>12</v>
      </c>
      <c r="E13" s="145" t="str">
        <f>IF(OR(Datum_Einde_IKV="",Tabel1351011[[#This Row],[DatAanvTv]]&lt;Datum_Einde_IKV),IF(E12="december","",IF(Verloningsperiodiciteit="maandelijks",rekenwaarden!F14,_xlfn.CONCAT("Periode ",rekenwaarden!E14))),"")</f>
        <v>december</v>
      </c>
      <c r="F13" s="146">
        <f t="shared" si="0"/>
        <v>46722</v>
      </c>
      <c r="G13" s="146">
        <f>IF(F13="", "", IF(Verloningsperiodiciteit="Vierwekelijks", _xlfn.XLOOKUP(F13,rekenwaarden!$C$3:$C$54,rekenwaarden!$D$3:$D$54,"niet gevonden",-1), _xlfn.XLOOKUP(F13,rekenwaarden!$I$3:$I$54,rekenwaarden!$J$3:$J$54,"niet gevonden",-1)))</f>
        <v>46752</v>
      </c>
      <c r="H13" s="147">
        <f>IF(Tabel1351011[[#This Row],[Inkomsten-periode]]="","",DATEDIF(Geboortedatum,Tabel1351011[[#This Row],[DatEindTv]],"Y"))</f>
        <v>25</v>
      </c>
      <c r="I13" s="146">
        <f>IF(Tabel1351011[[#This Row],[Inkomsten-periode]]="","",IF(Datum_Aanvang_IKV="","",Datum_Aanvang_IKV))</f>
        <v>46388</v>
      </c>
      <c r="J13" s="146" t="str">
        <f>IF(Tabel1351011[[#This Row],[Inkomsten-periode]]="","",IF(Datum_Einde_IKV="","",IF(Datum_Einde_IKV&lt;=Tabel1351011[[#This Row],[DatEindTv]],Datum_Einde_IKV,"")))</f>
        <v/>
      </c>
      <c r="K13" s="141"/>
      <c r="L13" s="141">
        <v>15</v>
      </c>
      <c r="M13" s="141">
        <v>1</v>
      </c>
      <c r="N13" s="142">
        <v>156</v>
      </c>
      <c r="O13" s="143">
        <v>3120</v>
      </c>
      <c r="P13" s="143">
        <v>0</v>
      </c>
      <c r="Q13" s="143">
        <v>249.6</v>
      </c>
      <c r="R13" s="143">
        <v>0</v>
      </c>
      <c r="S13" s="143">
        <v>0</v>
      </c>
      <c r="T13" s="143">
        <v>3120</v>
      </c>
      <c r="U13" s="143"/>
      <c r="V13" s="184">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Row],[OpnAvwb]],0))))</f>
        <v>3369.6</v>
      </c>
      <c r="W13" s="186">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Row],[AantVerlU]],0))))</f>
        <v>156</v>
      </c>
      <c r="X13" s="184"/>
      <c r="Y13" s="186"/>
    </row>
    <row r="14" spans="1:38" s="113" customFormat="1" ht="16.399999999999999" customHeight="1" x14ac:dyDescent="0.25">
      <c r="A14" s="125" t="s">
        <v>187</v>
      </c>
      <c r="B14" s="126"/>
      <c r="C14" s="200"/>
      <c r="D14" s="144" t="str">
        <f>IF(OR(Datum_Einde_IKV&gt;G13,Datum_Einde_IKV=""),IF(AND($B$2="Maandelijks", COUNTIF($D$1:D13, 12)=1), "",IF(OR(AND($B$2="Maandelijks", D13=12),AND($B$2="Vierwekelijks", D13=13), D13 = "Periode"), 1, D13+1)),"")</f>
        <v/>
      </c>
      <c r="E14" s="145" t="str">
        <f>IF(OR(Datum_Einde_IKV="",Tabel1351011[[#This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IF(Tabel1351011[[#This Row],[Inkomsten-periode]]="","",DATEDIF(Geboortedatum,Tabel1351011[[#This Row],[DatEindTv]],"Y"))</f>
        <v/>
      </c>
      <c r="I14" s="146" t="str">
        <f>IF(Tabel1351011[[#This Row],[Inkomsten-periode]]="","",IF(Datum_Aanvang_IKV="","",Datum_Aanvang_IKV))</f>
        <v/>
      </c>
      <c r="J14" s="146" t="str">
        <f>IF(Tabel1351011[[#This Row],[Inkomsten-periode]]="","",IF(Datum_Einde_IKV="","",IF(Datum_Einde_IKV&lt;=Tabel1351011[[#This Row],[DatEindTv]],Datum_Einde_IKV,"")))</f>
        <v/>
      </c>
      <c r="K14" s="138"/>
      <c r="L14" s="138"/>
      <c r="M14" s="138"/>
      <c r="N14" s="139"/>
      <c r="O14" s="140"/>
      <c r="P14" s="140"/>
      <c r="Q14" s="140"/>
      <c r="R14" s="140"/>
      <c r="S14" s="140"/>
      <c r="T14" s="140"/>
      <c r="U14" s="140"/>
      <c r="V14" s="184" t="str">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Row],[OpnAvwb]],0))))</f>
        <v/>
      </c>
      <c r="W14" s="187" t="str">
        <f>IF(Tabel1351011[[#This Row],[Inkomsten-periode]]="","",IF(OR(Tabel1351011[[#This Row],[Leeftijd]]&lt;18,Tabel1351011[[#This Row],[Leeftijd]]&gt;=68),0,IF(Tabel1351011[[#This Row],[CdRdnEindArbov]]=33,0,IF(AND(OR(Tabel1351011[[#This Row],[SrtIV]]=13,Tabel1351011[[#This Row],[SrtIV]]=15,Tabel1351011[[#This Row],[SrtIV]]=31),OR(Tabel1351011[[#This Row],[CdAard]]=1,Tabel1351011[[#This Row],[CdAard]]=11,Tabel1351011[[#This Row],[CdAard]]=82,Tabel1351011[[#This Row],[CdAard]]=83)),Tabel1351011[[#This Row],[AantVerlU]],0))))</f>
        <v/>
      </c>
      <c r="X14" s="184" t="str">
        <f>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Row],[LnInGld]]+Tabel1351011[[#This Row],[OpgRchtVakBsl]]-Tabel1351011[[#This Row],[VakBsl]]+Tabel1351011[[#This Row],[OpbAvwb]]-Tabel1351011[[#This Row],[OpnAvwb]],"")),"")</f>
        <v/>
      </c>
      <c r="Y14" s="187" t="str">
        <f>IF(Tabel1351011[[#This Row],[Inkomsten-periode]]="",IF(Tabel1351011[[#This Row],[CdRdnEindArbov]]=33,0,IF(AND(OR(Tabel1351011[[#This Row],[SrtIV]]=13,Tabel1351011[[#This Row],[SrtIV]]=15,Tabel1351011[[#This Row],[SrtIV]]=31),OR(Tabel1351011[[#This Row],[CdAard]]=1,Tabel1351011[[#This Row],[CdAard]]=11,Tabel1351011[[#This Row],[CdAard]]=82,Tabel1351011[[#This Row],[CdAard]]=83)),Tabel1351011[[#This Row],[AantVerlU]],"")),"")</f>
        <v/>
      </c>
    </row>
    <row r="15" spans="1:38" ht="13" thickBot="1" x14ac:dyDescent="0.3">
      <c r="A15" s="127" t="s">
        <v>192</v>
      </c>
      <c r="B15" s="128"/>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4.5" x14ac:dyDescent="0.35">
      <c r="A16" s="212" t="s">
        <v>193</v>
      </c>
      <c r="B16" s="128"/>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127" t="s">
        <v>194</v>
      </c>
      <c r="B17" s="128"/>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125" t="s">
        <v>67</v>
      </c>
      <c r="B18" s="126"/>
      <c r="C18" s="200"/>
      <c r="D18" s="163">
        <f>D2</f>
        <v>1</v>
      </c>
      <c r="E18" s="150" t="str">
        <f>E2</f>
        <v>januari</v>
      </c>
      <c r="F18" s="151">
        <f>F2</f>
        <v>46388</v>
      </c>
      <c r="G18" s="151">
        <f>G2</f>
        <v>46418</v>
      </c>
      <c r="H18" s="188">
        <f t="shared" ref="H18:H30" si="1">IF(AND(W2="",Y2=""),"",MAX(W2,Y2))</f>
        <v>0</v>
      </c>
      <c r="I18" s="191">
        <f t="shared" ref="I18:I30" si="2">IF(AND(V2="",X2=""),"",MAX(V2,X2))</f>
        <v>0</v>
      </c>
      <c r="J18" s="188">
        <f>IF($E18="","",IF($E19="",SUM(H18:H$30),H18))</f>
        <v>0</v>
      </c>
      <c r="K18" s="191">
        <f>IF($E18="","",IF($E19="",SUM(I18:I$30),I18))</f>
        <v>0</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0</v>
      </c>
      <c r="T18" s="157">
        <f t="shared" ref="T18:T30" si="10">IF(M18="","",J18+IF(AND(D18&lt;&gt;1, T17&lt;&gt;""),T17,0))</f>
        <v>0</v>
      </c>
      <c r="U18" s="157">
        <f t="shared" ref="U18:U30" si="11">IF(M18="","",R18+IF(AND(D18&lt;&gt;1, U17&lt;&gt;""),U17,0))</f>
        <v>173.33333333333334</v>
      </c>
      <c r="V18" s="158">
        <f>IF(M18="",0,T18/U18)</f>
        <v>0</v>
      </c>
      <c r="W18" s="159">
        <f>IF(M18="","",VLOOKUP($B$6,rekenwaarden!M$8:N$12,2))</f>
        <v>8.31</v>
      </c>
      <c r="X18" s="160">
        <f t="shared" ref="X18:X30" si="12">IF(M18="","",W18*J18)</f>
        <v>0</v>
      </c>
      <c r="Y18" s="160">
        <f t="shared" ref="Y18:Y30" si="13">IF(M18="","",X18+IF(AND(D18&lt;&gt;1, Y17&lt;&gt;""),Y17,0))</f>
        <v>0</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0</v>
      </c>
      <c r="AE18" s="160">
        <f t="shared" ref="AE18:AE30" si="17">IF(M18="","",AD18-IF(AND(D18&lt;&gt;1, AD17&lt;&gt;""),AD17,0))</f>
        <v>0</v>
      </c>
      <c r="AF18" s="160">
        <f>IF(OR($B$8="ONWAAR", M18=""), "", MAX(MIN(S18, AC18*MIN(1, V18))-AA18*MIN(1, V18), 0))</f>
        <v>0</v>
      </c>
      <c r="AG18" s="160">
        <f t="shared" ref="AG18:AG30" si="18">IF(OR(M18="", AF18=""),"",AF18-IF(AND(D18&lt;&gt;1, AF17&lt;&gt;""),AF17,0))</f>
        <v>0</v>
      </c>
      <c r="AH18" s="161">
        <f t="shared" ref="AH18:AH30" ca="1" si="19">IF($M18="", "", AE18*INDIRECT(CONCATENATE("premiepct", YEAR(F18))))</f>
        <v>0</v>
      </c>
      <c r="AI18" s="161">
        <f ca="1">IF(OR($F$4=FALSE, M18=""), "", AG18*INDIRECT(CONCATENATE("premiepct", YEAR($F18))))</f>
        <v>0</v>
      </c>
      <c r="AJ18" s="161"/>
      <c r="AK18" s="161"/>
      <c r="AL18" s="164">
        <f ca="1">IF(M18="","",SUM(AH18:AK18))</f>
        <v>0</v>
      </c>
    </row>
    <row r="19" spans="1:38" s="113" customFormat="1" ht="15.65" customHeight="1" x14ac:dyDescent="0.25">
      <c r="A19" s="127"/>
      <c r="B19" s="126"/>
      <c r="C19" s="200"/>
      <c r="D19" s="163">
        <f t="shared" ref="D19:G30" si="20">D3</f>
        <v>2</v>
      </c>
      <c r="E19" s="150" t="str">
        <f t="shared" si="20"/>
        <v>februari</v>
      </c>
      <c r="F19" s="151">
        <f t="shared" si="20"/>
        <v>46419</v>
      </c>
      <c r="G19" s="151">
        <f t="shared" si="20"/>
        <v>46446</v>
      </c>
      <c r="H19" s="189">
        <f t="shared" si="1"/>
        <v>10</v>
      </c>
      <c r="I19" s="192">
        <f t="shared" si="2"/>
        <v>216</v>
      </c>
      <c r="J19" s="189">
        <f>IF($E19="","",IF($E20="",SUM(H19:H$30),H19))</f>
        <v>10</v>
      </c>
      <c r="K19" s="192">
        <f>IF($E19="","",IF($E20="",SUM(I19:I$30),I19))</f>
        <v>216</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216</v>
      </c>
      <c r="T19" s="157">
        <f t="shared" si="10"/>
        <v>10</v>
      </c>
      <c r="U19" s="157">
        <f t="shared" si="11"/>
        <v>346.66666666666669</v>
      </c>
      <c r="V19" s="158">
        <f t="shared" ref="V19:V30" si="22">IF(M19="","",T19/U19)</f>
        <v>2.8846153846153844E-2</v>
      </c>
      <c r="W19" s="159">
        <f>IF(M19="","",VLOOKUP($B$6,rekenwaarden!M$8:N$12,2))</f>
        <v>8.31</v>
      </c>
      <c r="X19" s="160">
        <f t="shared" si="12"/>
        <v>83.100000000000009</v>
      </c>
      <c r="Y19" s="160">
        <f t="shared" si="13"/>
        <v>83.100000000000009</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132.89999999999998</v>
      </c>
      <c r="AE19" s="160">
        <f t="shared" si="17"/>
        <v>132.89999999999998</v>
      </c>
      <c r="AF19" s="160">
        <f t="shared" ref="AF19:AF30" si="23">IF(OR($B$8="ONWAAR", M19=""), "", MAX(MIN(S19, AC19*MIN(1, V19))-AA19*MIN(1, V19), 0))</f>
        <v>0</v>
      </c>
      <c r="AG19" s="160">
        <f t="shared" si="18"/>
        <v>0</v>
      </c>
      <c r="AH19" s="161">
        <f t="shared" ca="1" si="19"/>
        <v>39.471299999999992</v>
      </c>
      <c r="AI19" s="161">
        <f t="shared" ref="AI19:AI30" ca="1" si="24">IF(OR($F$4=FALSE, M19=""), "", AG19*INDIRECT(CONCATENATE("premiepct", YEAR($F19))))</f>
        <v>0</v>
      </c>
      <c r="AJ19" s="161"/>
      <c r="AK19" s="161"/>
      <c r="AL19" s="164">
        <f t="shared" ref="AL19:AL30" ca="1" si="25">IF(M19="","",SUM(AH19:AK19))</f>
        <v>39.471299999999992</v>
      </c>
    </row>
    <row r="20" spans="1:38" s="113" customFormat="1" ht="15.65" customHeight="1" x14ac:dyDescent="0.25">
      <c r="A20" s="125"/>
      <c r="B20" s="126"/>
      <c r="C20" s="200"/>
      <c r="D20" s="163">
        <f t="shared" si="20"/>
        <v>3</v>
      </c>
      <c r="E20" s="150" t="str">
        <f t="shared" si="20"/>
        <v>maart</v>
      </c>
      <c r="F20" s="151">
        <f t="shared" si="20"/>
        <v>46447</v>
      </c>
      <c r="G20" s="151">
        <f t="shared" si="20"/>
        <v>46477</v>
      </c>
      <c r="H20" s="188">
        <f t="shared" si="1"/>
        <v>173</v>
      </c>
      <c r="I20" s="191">
        <f t="shared" si="2"/>
        <v>3736.8</v>
      </c>
      <c r="J20" s="188">
        <f>IF($E20="","",IF($E21="",SUM(H20:H$30),H20))</f>
        <v>173</v>
      </c>
      <c r="K20" s="191">
        <f>IF($E20="","",IF($E21="",SUM(I20:I$30),I20))</f>
        <v>3736.8</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3952.8</v>
      </c>
      <c r="T20" s="157">
        <f t="shared" si="10"/>
        <v>183</v>
      </c>
      <c r="U20" s="157">
        <f t="shared" si="11"/>
        <v>520</v>
      </c>
      <c r="V20" s="158">
        <f t="shared" si="22"/>
        <v>0.35192307692307695</v>
      </c>
      <c r="W20" s="159">
        <f>IF(M20="","",VLOOKUP($B$6,rekenwaarden!M$8:N$12,2))</f>
        <v>8.31</v>
      </c>
      <c r="X20" s="160">
        <f t="shared" si="12"/>
        <v>1437.63</v>
      </c>
      <c r="Y20" s="160">
        <f t="shared" si="13"/>
        <v>1520.73</v>
      </c>
      <c r="Z20" s="160">
        <f>IF(M20="","", VLOOKUP(B$6,rekenwaarden!M$8:T$12,3)*Q20)</f>
        <v>6617.4166666666661</v>
      </c>
      <c r="AA20" s="160">
        <f t="shared" si="14"/>
        <v>19852.25</v>
      </c>
      <c r="AB20" s="160">
        <f>IF(M20="","", VLOOKUP($B$6,rekenwaarden!M$8:T$12,4)*Q20)</f>
        <v>11483.333333333332</v>
      </c>
      <c r="AC20" s="160">
        <f t="shared" si="15"/>
        <v>34450</v>
      </c>
      <c r="AD20" s="160">
        <f t="shared" si="16"/>
        <v>2432.0700000000002</v>
      </c>
      <c r="AE20" s="160">
        <f t="shared" si="17"/>
        <v>2299.17</v>
      </c>
      <c r="AF20" s="160">
        <f t="shared" si="23"/>
        <v>0</v>
      </c>
      <c r="AG20" s="160">
        <f t="shared" si="18"/>
        <v>0</v>
      </c>
      <c r="AH20" s="161">
        <f t="shared" ca="1" si="19"/>
        <v>682.85348999999997</v>
      </c>
      <c r="AI20" s="161">
        <f t="shared" ca="1" si="24"/>
        <v>0</v>
      </c>
      <c r="AJ20" s="161"/>
      <c r="AK20" s="161"/>
      <c r="AL20" s="164">
        <f t="shared" ca="1" si="25"/>
        <v>682.85348999999997</v>
      </c>
    </row>
    <row r="21" spans="1:38" s="113" customFormat="1" ht="15.65" customHeight="1" x14ac:dyDescent="0.25">
      <c r="A21" s="125"/>
      <c r="B21" s="126"/>
      <c r="C21" s="200"/>
      <c r="D21" s="163">
        <f t="shared" si="20"/>
        <v>4</v>
      </c>
      <c r="E21" s="150" t="str">
        <f t="shared" si="20"/>
        <v>april</v>
      </c>
      <c r="F21" s="151">
        <f t="shared" si="20"/>
        <v>46478</v>
      </c>
      <c r="G21" s="151">
        <f t="shared" si="20"/>
        <v>46507</v>
      </c>
      <c r="H21" s="189">
        <f t="shared" si="1"/>
        <v>193</v>
      </c>
      <c r="I21" s="192">
        <f t="shared" si="2"/>
        <v>4168.8</v>
      </c>
      <c r="J21" s="189">
        <f>IF($E21="","",IF($E22="",SUM(H21:H$30),H21))</f>
        <v>193</v>
      </c>
      <c r="K21" s="192">
        <f>IF($E21="","",IF($E22="",SUM(I21:I$30),I21))</f>
        <v>4168.8</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8121.6</v>
      </c>
      <c r="T21" s="157">
        <f t="shared" si="10"/>
        <v>376</v>
      </c>
      <c r="U21" s="157">
        <f t="shared" si="11"/>
        <v>693.33333333333337</v>
      </c>
      <c r="V21" s="158">
        <f t="shared" si="22"/>
        <v>0.54230769230769227</v>
      </c>
      <c r="W21" s="159">
        <f>IF(M21="","",VLOOKUP($B$6,rekenwaarden!M$8:N$12,2))</f>
        <v>8.31</v>
      </c>
      <c r="X21" s="160">
        <f t="shared" si="12"/>
        <v>1603.8300000000002</v>
      </c>
      <c r="Y21" s="160">
        <f t="shared" si="13"/>
        <v>3124.5600000000004</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4997.04</v>
      </c>
      <c r="AE21" s="160">
        <f t="shared" si="17"/>
        <v>2564.9699999999998</v>
      </c>
      <c r="AF21" s="160">
        <f t="shared" si="23"/>
        <v>0</v>
      </c>
      <c r="AG21" s="160">
        <f t="shared" si="18"/>
        <v>0</v>
      </c>
      <c r="AH21" s="161">
        <f t="shared" ca="1" si="19"/>
        <v>761.79608999999994</v>
      </c>
      <c r="AI21" s="161">
        <f t="shared" ca="1" si="24"/>
        <v>0</v>
      </c>
      <c r="AJ21" s="161"/>
      <c r="AK21" s="161"/>
      <c r="AL21" s="164">
        <f t="shared" ca="1" si="25"/>
        <v>761.79608999999994</v>
      </c>
    </row>
    <row r="22" spans="1:38" s="113" customFormat="1" ht="15.65" customHeight="1" x14ac:dyDescent="0.25">
      <c r="A22" s="125"/>
      <c r="B22" s="126"/>
      <c r="C22" s="200"/>
      <c r="D22" s="163">
        <f t="shared" si="20"/>
        <v>5</v>
      </c>
      <c r="E22" s="150" t="str">
        <f t="shared" si="20"/>
        <v>mei</v>
      </c>
      <c r="F22" s="151">
        <f t="shared" si="20"/>
        <v>46508</v>
      </c>
      <c r="G22" s="151">
        <f t="shared" si="20"/>
        <v>46538</v>
      </c>
      <c r="H22" s="188">
        <f t="shared" si="1"/>
        <v>-20</v>
      </c>
      <c r="I22" s="191">
        <f t="shared" si="2"/>
        <v>1500</v>
      </c>
      <c r="J22" s="188">
        <f>IF($E22="","",IF($E23="",SUM(H22:H$30),H22))</f>
        <v>-20</v>
      </c>
      <c r="K22" s="191">
        <f>IF($E22="","",IF($E23="",SUM(I22:I$30),I22))</f>
        <v>1500</v>
      </c>
      <c r="L22" s="152">
        <f t="shared" si="3"/>
        <v>40</v>
      </c>
      <c r="M22" s="151">
        <f t="shared" si="4"/>
        <v>46508</v>
      </c>
      <c r="N22" s="151">
        <f t="shared" si="5"/>
        <v>46538</v>
      </c>
      <c r="O22" s="150">
        <f t="shared" si="21"/>
        <v>31</v>
      </c>
      <c r="P22" s="153">
        <f t="shared" si="6"/>
        <v>1</v>
      </c>
      <c r="Q22" s="154">
        <f t="shared" si="7"/>
        <v>8.3333333333333329E-2</v>
      </c>
      <c r="R22" s="155">
        <f t="shared" si="8"/>
        <v>173.33333333333334</v>
      </c>
      <c r="S22" s="156">
        <f t="shared" si="9"/>
        <v>9621.6</v>
      </c>
      <c r="T22" s="157">
        <f t="shared" si="10"/>
        <v>356</v>
      </c>
      <c r="U22" s="157">
        <f t="shared" si="11"/>
        <v>866.66666666666674</v>
      </c>
      <c r="V22" s="158">
        <f t="shared" si="22"/>
        <v>0.41076923076923072</v>
      </c>
      <c r="W22" s="159">
        <f>IF(M22="","",VLOOKUP($B$6,rekenwaarden!M$8:N$12,2))</f>
        <v>8.31</v>
      </c>
      <c r="X22" s="160">
        <f t="shared" si="12"/>
        <v>-166.20000000000002</v>
      </c>
      <c r="Y22" s="160">
        <f t="shared" si="13"/>
        <v>2958.3600000000006</v>
      </c>
      <c r="Z22" s="160">
        <f>IF(M22="","", VLOOKUP(B$6,rekenwaarden!M$8:T$12,3)*Q22)</f>
        <v>6617.4166666666661</v>
      </c>
      <c r="AA22" s="160">
        <f t="shared" si="14"/>
        <v>33087.083333333328</v>
      </c>
      <c r="AB22" s="160">
        <f>IF(M22="","", VLOOKUP($B$6,rekenwaarden!M$8:T$12,4)*Q22)</f>
        <v>11483.333333333332</v>
      </c>
      <c r="AC22" s="160">
        <f t="shared" si="15"/>
        <v>57416.666666666657</v>
      </c>
      <c r="AD22" s="160">
        <f t="shared" si="16"/>
        <v>6663.24</v>
      </c>
      <c r="AE22" s="160">
        <f t="shared" si="17"/>
        <v>1666.1999999999998</v>
      </c>
      <c r="AF22" s="160">
        <f t="shared" si="23"/>
        <v>0</v>
      </c>
      <c r="AG22" s="160">
        <f t="shared" si="18"/>
        <v>0</v>
      </c>
      <c r="AH22" s="161">
        <f t="shared" ca="1" si="19"/>
        <v>494.86139999999995</v>
      </c>
      <c r="AI22" s="161">
        <f t="shared" ca="1" si="24"/>
        <v>0</v>
      </c>
      <c r="AJ22" s="161"/>
      <c r="AK22" s="161"/>
      <c r="AL22" s="164">
        <f t="shared" ca="1" si="25"/>
        <v>494.86139999999995</v>
      </c>
    </row>
    <row r="23" spans="1:38" s="113" customFormat="1" ht="15.65" customHeight="1" x14ac:dyDescent="0.25">
      <c r="A23" s="125"/>
      <c r="B23" s="126"/>
      <c r="C23" s="200"/>
      <c r="D23" s="163">
        <f t="shared" si="20"/>
        <v>6</v>
      </c>
      <c r="E23" s="150" t="str">
        <f t="shared" si="20"/>
        <v>juni</v>
      </c>
      <c r="F23" s="151">
        <f t="shared" si="20"/>
        <v>46539</v>
      </c>
      <c r="G23" s="151">
        <f t="shared" si="20"/>
        <v>46568</v>
      </c>
      <c r="H23" s="189">
        <f t="shared" si="1"/>
        <v>80</v>
      </c>
      <c r="I23" s="192">
        <f t="shared" si="2"/>
        <v>1728</v>
      </c>
      <c r="J23" s="189">
        <f>IF($E23="","",IF($E24="",SUM(H23:H$30),H23))</f>
        <v>80</v>
      </c>
      <c r="K23" s="192">
        <f>IF($E23="","",IF($E24="",SUM(I23:I$30),I23))</f>
        <v>1728</v>
      </c>
      <c r="L23" s="152">
        <f t="shared" si="3"/>
        <v>40</v>
      </c>
      <c r="M23" s="151">
        <f t="shared" si="4"/>
        <v>46539</v>
      </c>
      <c r="N23" s="151">
        <f t="shared" si="5"/>
        <v>46568</v>
      </c>
      <c r="O23" s="150">
        <f t="shared" si="21"/>
        <v>30</v>
      </c>
      <c r="P23" s="153">
        <f t="shared" si="6"/>
        <v>1</v>
      </c>
      <c r="Q23" s="154">
        <f t="shared" si="7"/>
        <v>8.3333333333333329E-2</v>
      </c>
      <c r="R23" s="155">
        <f t="shared" si="8"/>
        <v>173.33333333333334</v>
      </c>
      <c r="S23" s="156">
        <f t="shared" si="9"/>
        <v>11349.6</v>
      </c>
      <c r="T23" s="157">
        <f t="shared" si="10"/>
        <v>436</v>
      </c>
      <c r="U23" s="157">
        <f t="shared" si="11"/>
        <v>1040</v>
      </c>
      <c r="V23" s="158">
        <f t="shared" si="22"/>
        <v>0.41923076923076924</v>
      </c>
      <c r="W23" s="159">
        <f>IF(M23="","",VLOOKUP($B$6,rekenwaarden!M$8:N$12,2))</f>
        <v>8.31</v>
      </c>
      <c r="X23" s="160">
        <f t="shared" si="12"/>
        <v>664.80000000000007</v>
      </c>
      <c r="Y23" s="160">
        <f t="shared" si="13"/>
        <v>3623.1600000000008</v>
      </c>
      <c r="Z23" s="160">
        <f>IF(M23="","", VLOOKUP(B$6,rekenwaarden!M$8:T$12,3)*Q23)</f>
        <v>6617.4166666666661</v>
      </c>
      <c r="AA23" s="160">
        <f t="shared" si="14"/>
        <v>39704.499999999993</v>
      </c>
      <c r="AB23" s="160">
        <f>IF(M23="","", VLOOKUP($B$6,rekenwaarden!M$8:T$12,4)*Q23)</f>
        <v>11483.333333333332</v>
      </c>
      <c r="AC23" s="160">
        <f t="shared" si="15"/>
        <v>68899.999999999985</v>
      </c>
      <c r="AD23" s="160">
        <f t="shared" si="16"/>
        <v>7726.44</v>
      </c>
      <c r="AE23" s="160">
        <f t="shared" si="17"/>
        <v>1063.1999999999998</v>
      </c>
      <c r="AF23" s="160">
        <f t="shared" si="23"/>
        <v>0</v>
      </c>
      <c r="AG23" s="160">
        <f t="shared" si="18"/>
        <v>0</v>
      </c>
      <c r="AH23" s="161">
        <f t="shared" ca="1" si="19"/>
        <v>315.77039999999994</v>
      </c>
      <c r="AI23" s="161">
        <f t="shared" ca="1" si="24"/>
        <v>0</v>
      </c>
      <c r="AJ23" s="161"/>
      <c r="AK23" s="161"/>
      <c r="AL23" s="164">
        <f t="shared" ca="1" si="25"/>
        <v>315.77039999999994</v>
      </c>
    </row>
    <row r="24" spans="1:38" s="113" customFormat="1" ht="15.65" customHeight="1" x14ac:dyDescent="0.25">
      <c r="A24" s="125"/>
      <c r="B24" s="126"/>
      <c r="C24" s="200"/>
      <c r="D24" s="163">
        <f t="shared" si="20"/>
        <v>7</v>
      </c>
      <c r="E24" s="150" t="str">
        <f t="shared" si="20"/>
        <v>juli</v>
      </c>
      <c r="F24" s="151">
        <f t="shared" si="20"/>
        <v>46569</v>
      </c>
      <c r="G24" s="151">
        <f t="shared" si="20"/>
        <v>46599</v>
      </c>
      <c r="H24" s="188">
        <f t="shared" si="1"/>
        <v>80</v>
      </c>
      <c r="I24" s="191">
        <f t="shared" si="2"/>
        <v>1728</v>
      </c>
      <c r="J24" s="188">
        <f>IF($E24="","",IF($E25="",SUM(H24:H$30),H24))</f>
        <v>80</v>
      </c>
      <c r="K24" s="191">
        <f>IF($E24="","",IF($E25="",SUM(I24:I$30),I24))</f>
        <v>1728</v>
      </c>
      <c r="L24" s="152">
        <f t="shared" si="3"/>
        <v>40</v>
      </c>
      <c r="M24" s="151">
        <f t="shared" si="4"/>
        <v>46569</v>
      </c>
      <c r="N24" s="151">
        <f t="shared" si="5"/>
        <v>46599</v>
      </c>
      <c r="O24" s="150">
        <f t="shared" si="21"/>
        <v>31</v>
      </c>
      <c r="P24" s="153">
        <f t="shared" si="6"/>
        <v>1</v>
      </c>
      <c r="Q24" s="154">
        <f t="shared" si="7"/>
        <v>8.3333333333333329E-2</v>
      </c>
      <c r="R24" s="155">
        <f t="shared" si="8"/>
        <v>173.33333333333334</v>
      </c>
      <c r="S24" s="156">
        <f t="shared" si="9"/>
        <v>13077.6</v>
      </c>
      <c r="T24" s="157">
        <f t="shared" si="10"/>
        <v>516</v>
      </c>
      <c r="U24" s="157">
        <f t="shared" si="11"/>
        <v>1213.3333333333333</v>
      </c>
      <c r="V24" s="158">
        <f t="shared" si="22"/>
        <v>0.42527472527472532</v>
      </c>
      <c r="W24" s="159">
        <f>IF(M24="","",VLOOKUP($B$6,rekenwaarden!M$8:N$12,2))</f>
        <v>8.31</v>
      </c>
      <c r="X24" s="160">
        <f t="shared" si="12"/>
        <v>664.80000000000007</v>
      </c>
      <c r="Y24" s="160">
        <f t="shared" si="13"/>
        <v>4287.9600000000009</v>
      </c>
      <c r="Z24" s="160">
        <f>IF(M24="","", VLOOKUP(B$6,rekenwaarden!M$8:T$12,3)*Q24)</f>
        <v>6617.4166666666661</v>
      </c>
      <c r="AA24" s="160">
        <f t="shared" si="14"/>
        <v>46321.916666666657</v>
      </c>
      <c r="AB24" s="160">
        <f>IF(M24="","", VLOOKUP($B$6,rekenwaarden!M$8:T$12,4)*Q24)</f>
        <v>11483.333333333332</v>
      </c>
      <c r="AC24" s="160">
        <f t="shared" si="15"/>
        <v>80383.333333333314</v>
      </c>
      <c r="AD24" s="160">
        <f t="shared" si="16"/>
        <v>8789.64</v>
      </c>
      <c r="AE24" s="160">
        <f t="shared" si="17"/>
        <v>1063.1999999999998</v>
      </c>
      <c r="AF24" s="160">
        <f t="shared" si="23"/>
        <v>0</v>
      </c>
      <c r="AG24" s="160">
        <f t="shared" si="18"/>
        <v>0</v>
      </c>
      <c r="AH24" s="161">
        <f t="shared" ca="1" si="19"/>
        <v>315.77039999999994</v>
      </c>
      <c r="AI24" s="161">
        <f t="shared" ca="1" si="24"/>
        <v>0</v>
      </c>
      <c r="AJ24" s="161"/>
      <c r="AK24" s="161"/>
      <c r="AL24" s="164">
        <f t="shared" ca="1" si="25"/>
        <v>315.77039999999994</v>
      </c>
    </row>
    <row r="25" spans="1:38" s="113" customFormat="1" ht="15.65" customHeight="1" x14ac:dyDescent="0.25">
      <c r="A25" s="125"/>
      <c r="B25" s="126"/>
      <c r="C25" s="200"/>
      <c r="D25" s="163">
        <f t="shared" si="20"/>
        <v>8</v>
      </c>
      <c r="E25" s="150" t="str">
        <f t="shared" si="20"/>
        <v>augustus</v>
      </c>
      <c r="F25" s="151">
        <f t="shared" si="20"/>
        <v>46600</v>
      </c>
      <c r="G25" s="151">
        <f t="shared" si="20"/>
        <v>46630</v>
      </c>
      <c r="H25" s="189">
        <f t="shared" si="1"/>
        <v>0</v>
      </c>
      <c r="I25" s="192">
        <f t="shared" si="2"/>
        <v>0</v>
      </c>
      <c r="J25" s="189">
        <f>IF($E25="","",IF($E26="",SUM(H25:H$30),H25))</f>
        <v>0</v>
      </c>
      <c r="K25" s="192">
        <f>IF($E25="","",IF($E26="",SUM(I25:I$30),I25))</f>
        <v>0</v>
      </c>
      <c r="L25" s="152">
        <f t="shared" si="3"/>
        <v>40</v>
      </c>
      <c r="M25" s="151">
        <f t="shared" si="4"/>
        <v>46600</v>
      </c>
      <c r="N25" s="151">
        <f t="shared" si="5"/>
        <v>46630</v>
      </c>
      <c r="O25" s="150">
        <f t="shared" si="21"/>
        <v>31</v>
      </c>
      <c r="P25" s="153">
        <f t="shared" si="6"/>
        <v>1</v>
      </c>
      <c r="Q25" s="154">
        <f t="shared" si="7"/>
        <v>8.3333333333333329E-2</v>
      </c>
      <c r="R25" s="155">
        <f t="shared" si="8"/>
        <v>173.33333333333334</v>
      </c>
      <c r="S25" s="156">
        <f t="shared" si="9"/>
        <v>13077.6</v>
      </c>
      <c r="T25" s="157">
        <f t="shared" si="10"/>
        <v>516</v>
      </c>
      <c r="U25" s="157">
        <f t="shared" si="11"/>
        <v>1386.6666666666665</v>
      </c>
      <c r="V25" s="158">
        <f t="shared" si="22"/>
        <v>0.37211538461538468</v>
      </c>
      <c r="W25" s="159">
        <f>IF(M25="","",VLOOKUP($B$6,rekenwaarden!M$8:N$12,2))</f>
        <v>8.31</v>
      </c>
      <c r="X25" s="160">
        <f t="shared" si="12"/>
        <v>0</v>
      </c>
      <c r="Y25" s="160">
        <f t="shared" si="13"/>
        <v>4287.9600000000009</v>
      </c>
      <c r="Z25" s="160">
        <f>IF(M25="","", VLOOKUP(B$6,rekenwaarden!M$8:T$12,3)*Q25)</f>
        <v>6617.4166666666661</v>
      </c>
      <c r="AA25" s="160">
        <f t="shared" si="14"/>
        <v>52939.333333333321</v>
      </c>
      <c r="AB25" s="160">
        <f>IF(M25="","", VLOOKUP($B$6,rekenwaarden!M$8:T$12,4)*Q25)</f>
        <v>11483.333333333332</v>
      </c>
      <c r="AC25" s="160">
        <f t="shared" si="15"/>
        <v>91866.666666666642</v>
      </c>
      <c r="AD25" s="160">
        <f t="shared" si="16"/>
        <v>8789.64</v>
      </c>
      <c r="AE25" s="160">
        <f t="shared" si="17"/>
        <v>0</v>
      </c>
      <c r="AF25" s="160">
        <f t="shared" si="23"/>
        <v>0</v>
      </c>
      <c r="AG25" s="160">
        <f t="shared" si="18"/>
        <v>0</v>
      </c>
      <c r="AH25" s="161">
        <f t="shared" ca="1" si="19"/>
        <v>0</v>
      </c>
      <c r="AI25" s="161">
        <f t="shared" ca="1" si="24"/>
        <v>0</v>
      </c>
      <c r="AJ25" s="161"/>
      <c r="AK25" s="161"/>
      <c r="AL25" s="164">
        <f t="shared" ca="1" si="25"/>
        <v>0</v>
      </c>
    </row>
    <row r="26" spans="1:38" s="113" customFormat="1" ht="15.65" customHeight="1" x14ac:dyDescent="0.25">
      <c r="A26" s="125"/>
      <c r="B26" s="126"/>
      <c r="C26" s="200"/>
      <c r="D26" s="163">
        <f t="shared" si="20"/>
        <v>9</v>
      </c>
      <c r="E26" s="150" t="str">
        <f t="shared" si="20"/>
        <v>september</v>
      </c>
      <c r="F26" s="151">
        <f t="shared" si="20"/>
        <v>46631</v>
      </c>
      <c r="G26" s="151">
        <f t="shared" si="20"/>
        <v>46660</v>
      </c>
      <c r="H26" s="188">
        <f t="shared" si="1"/>
        <v>180</v>
      </c>
      <c r="I26" s="191">
        <f t="shared" si="2"/>
        <v>3888</v>
      </c>
      <c r="J26" s="188">
        <f>IF($E26="","",IF($E27="",SUM(H26:H$30),H26))</f>
        <v>180</v>
      </c>
      <c r="K26" s="191">
        <f>IF($E26="","",IF($E27="",SUM(I26:I$30),I26))</f>
        <v>3888</v>
      </c>
      <c r="L26" s="152">
        <f t="shared" si="3"/>
        <v>40</v>
      </c>
      <c r="M26" s="151">
        <f t="shared" si="4"/>
        <v>46631</v>
      </c>
      <c r="N26" s="151">
        <f t="shared" si="5"/>
        <v>46660</v>
      </c>
      <c r="O26" s="150">
        <f t="shared" si="21"/>
        <v>30</v>
      </c>
      <c r="P26" s="153">
        <f t="shared" si="6"/>
        <v>1</v>
      </c>
      <c r="Q26" s="154">
        <f t="shared" si="7"/>
        <v>8.3333333333333329E-2</v>
      </c>
      <c r="R26" s="155">
        <f t="shared" si="8"/>
        <v>173.33333333333334</v>
      </c>
      <c r="S26" s="156">
        <f t="shared" si="9"/>
        <v>16965.599999999999</v>
      </c>
      <c r="T26" s="157">
        <f t="shared" si="10"/>
        <v>696</v>
      </c>
      <c r="U26" s="157">
        <f t="shared" si="11"/>
        <v>1559.9999999999998</v>
      </c>
      <c r="V26" s="158">
        <f t="shared" si="22"/>
        <v>0.44615384615384623</v>
      </c>
      <c r="W26" s="159">
        <f>IF(M26="","",VLOOKUP($B$6,rekenwaarden!M$8:N$12,2))</f>
        <v>8.31</v>
      </c>
      <c r="X26" s="160">
        <f t="shared" si="12"/>
        <v>1495.8000000000002</v>
      </c>
      <c r="Y26" s="160">
        <f t="shared" si="13"/>
        <v>5783.7600000000011</v>
      </c>
      <c r="Z26" s="160">
        <f>IF(M26="","", VLOOKUP(B$6,rekenwaarden!M$8:T$12,3)*Q26)</f>
        <v>6617.4166666666661</v>
      </c>
      <c r="AA26" s="160">
        <f t="shared" si="14"/>
        <v>59556.749999999985</v>
      </c>
      <c r="AB26" s="160">
        <f>IF(M26="","", VLOOKUP($B$6,rekenwaarden!M$8:T$12,4)*Q26)</f>
        <v>11483.333333333332</v>
      </c>
      <c r="AC26" s="160">
        <f t="shared" si="15"/>
        <v>103349.99999999997</v>
      </c>
      <c r="AD26" s="160">
        <f t="shared" si="16"/>
        <v>11181.839999999997</v>
      </c>
      <c r="AE26" s="160">
        <f t="shared" si="17"/>
        <v>2392.1999999999971</v>
      </c>
      <c r="AF26" s="160">
        <f t="shared" si="23"/>
        <v>0</v>
      </c>
      <c r="AG26" s="160">
        <f t="shared" si="18"/>
        <v>0</v>
      </c>
      <c r="AH26" s="161">
        <f t="shared" ca="1" si="19"/>
        <v>710.48339999999905</v>
      </c>
      <c r="AI26" s="161">
        <f t="shared" ca="1" si="24"/>
        <v>0</v>
      </c>
      <c r="AJ26" s="161"/>
      <c r="AK26" s="161"/>
      <c r="AL26" s="164">
        <f t="shared" ca="1" si="25"/>
        <v>710.48339999999905</v>
      </c>
    </row>
    <row r="27" spans="1:38" s="113" customFormat="1" ht="15.65" customHeight="1" x14ac:dyDescent="0.25">
      <c r="A27" s="125"/>
      <c r="B27" s="126"/>
      <c r="C27" s="200"/>
      <c r="D27" s="163">
        <f t="shared" si="20"/>
        <v>10</v>
      </c>
      <c r="E27" s="150" t="str">
        <f t="shared" si="20"/>
        <v>oktober</v>
      </c>
      <c r="F27" s="151">
        <f t="shared" si="20"/>
        <v>46661</v>
      </c>
      <c r="G27" s="151">
        <f t="shared" si="20"/>
        <v>46691</v>
      </c>
      <c r="H27" s="189">
        <f t="shared" si="1"/>
        <v>136</v>
      </c>
      <c r="I27" s="192">
        <f t="shared" si="2"/>
        <v>2937.6</v>
      </c>
      <c r="J27" s="189">
        <f>IF($E27="","",IF($E28="",SUM(H27:H$30),H27))</f>
        <v>136</v>
      </c>
      <c r="K27" s="192">
        <f>IF($E27="","",IF($E28="",SUM(I27:I$30),I27))</f>
        <v>2937.6</v>
      </c>
      <c r="L27" s="152">
        <f t="shared" si="3"/>
        <v>40</v>
      </c>
      <c r="M27" s="151">
        <f t="shared" si="4"/>
        <v>46661</v>
      </c>
      <c r="N27" s="151">
        <f t="shared" si="5"/>
        <v>46691</v>
      </c>
      <c r="O27" s="150">
        <f t="shared" si="21"/>
        <v>31</v>
      </c>
      <c r="P27" s="153">
        <f t="shared" si="6"/>
        <v>1</v>
      </c>
      <c r="Q27" s="154">
        <f t="shared" si="7"/>
        <v>8.3333333333333329E-2</v>
      </c>
      <c r="R27" s="155">
        <f t="shared" si="8"/>
        <v>173.33333333333334</v>
      </c>
      <c r="S27" s="156">
        <f t="shared" si="9"/>
        <v>19903.199999999997</v>
      </c>
      <c r="T27" s="157">
        <f t="shared" si="10"/>
        <v>832</v>
      </c>
      <c r="U27" s="157">
        <f t="shared" si="11"/>
        <v>1733.333333333333</v>
      </c>
      <c r="V27" s="158">
        <f t="shared" si="22"/>
        <v>0.48000000000000009</v>
      </c>
      <c r="W27" s="159">
        <f>IF(M27="","",VLOOKUP($B$6,rekenwaarden!M$8:N$12,2))</f>
        <v>8.31</v>
      </c>
      <c r="X27" s="160">
        <f t="shared" si="12"/>
        <v>1130.1600000000001</v>
      </c>
      <c r="Y27" s="160">
        <f t="shared" si="13"/>
        <v>6913.920000000001</v>
      </c>
      <c r="Z27" s="160">
        <f>IF(M27="","", VLOOKUP(B$6,rekenwaarden!M$8:T$12,3)*Q27)</f>
        <v>6617.4166666666661</v>
      </c>
      <c r="AA27" s="160">
        <f t="shared" si="14"/>
        <v>66174.166666666657</v>
      </c>
      <c r="AB27" s="160">
        <f>IF(M27="","", VLOOKUP($B$6,rekenwaarden!M$8:T$12,4)*Q27)</f>
        <v>11483.333333333332</v>
      </c>
      <c r="AC27" s="160">
        <f t="shared" si="15"/>
        <v>114833.3333333333</v>
      </c>
      <c r="AD27" s="160">
        <f t="shared" si="16"/>
        <v>12989.279999999995</v>
      </c>
      <c r="AE27" s="160">
        <f t="shared" si="17"/>
        <v>1807.4399999999987</v>
      </c>
      <c r="AF27" s="160">
        <f t="shared" si="23"/>
        <v>0</v>
      </c>
      <c r="AG27" s="160">
        <f t="shared" si="18"/>
        <v>0</v>
      </c>
      <c r="AH27" s="161">
        <f t="shared" ca="1" si="19"/>
        <v>536.80967999999962</v>
      </c>
      <c r="AI27" s="161">
        <f t="shared" ca="1" si="24"/>
        <v>0</v>
      </c>
      <c r="AJ27" s="161"/>
      <c r="AK27" s="161"/>
      <c r="AL27" s="164">
        <f t="shared" ca="1" si="25"/>
        <v>536.80967999999962</v>
      </c>
    </row>
    <row r="28" spans="1:38" s="113" customFormat="1" ht="15.65" customHeight="1" x14ac:dyDescent="0.25">
      <c r="A28" s="125"/>
      <c r="B28" s="126"/>
      <c r="C28" s="200"/>
      <c r="D28" s="163">
        <f t="shared" si="20"/>
        <v>11</v>
      </c>
      <c r="E28" s="150" t="str">
        <f t="shared" si="20"/>
        <v>november</v>
      </c>
      <c r="F28" s="151">
        <f t="shared" si="20"/>
        <v>46692</v>
      </c>
      <c r="G28" s="151">
        <f t="shared" si="20"/>
        <v>46721</v>
      </c>
      <c r="H28" s="188">
        <f t="shared" si="1"/>
        <v>0</v>
      </c>
      <c r="I28" s="191">
        <f t="shared" si="2"/>
        <v>0</v>
      </c>
      <c r="J28" s="188">
        <f>IF($E28="","",IF($E29="",SUM(H28:H$30),H28))</f>
        <v>0</v>
      </c>
      <c r="K28" s="191">
        <f>IF($E28="","",IF($E29="",SUM(I28:I$30),I28))</f>
        <v>0</v>
      </c>
      <c r="L28" s="152">
        <f t="shared" si="3"/>
        <v>40</v>
      </c>
      <c r="M28" s="151">
        <f t="shared" si="4"/>
        <v>46692</v>
      </c>
      <c r="N28" s="151">
        <f t="shared" si="5"/>
        <v>46721</v>
      </c>
      <c r="O28" s="150">
        <f t="shared" si="21"/>
        <v>30</v>
      </c>
      <c r="P28" s="153">
        <f t="shared" si="6"/>
        <v>1</v>
      </c>
      <c r="Q28" s="154">
        <f t="shared" si="7"/>
        <v>8.3333333333333329E-2</v>
      </c>
      <c r="R28" s="155">
        <f t="shared" si="8"/>
        <v>173.33333333333334</v>
      </c>
      <c r="S28" s="156">
        <f t="shared" si="9"/>
        <v>19903.199999999997</v>
      </c>
      <c r="T28" s="157">
        <f t="shared" si="10"/>
        <v>832</v>
      </c>
      <c r="U28" s="157">
        <f t="shared" si="11"/>
        <v>1906.6666666666663</v>
      </c>
      <c r="V28" s="158">
        <f t="shared" si="22"/>
        <v>0.43636363636363645</v>
      </c>
      <c r="W28" s="159">
        <f>IF(M28="","",VLOOKUP($B$6,rekenwaarden!M$8:N$12,2))</f>
        <v>8.31</v>
      </c>
      <c r="X28" s="160">
        <f t="shared" si="12"/>
        <v>0</v>
      </c>
      <c r="Y28" s="160">
        <f t="shared" si="13"/>
        <v>6913.920000000001</v>
      </c>
      <c r="Z28" s="160">
        <f>IF(M28="","", VLOOKUP(B$6,rekenwaarden!M$8:T$12,3)*Q28)</f>
        <v>6617.4166666666661</v>
      </c>
      <c r="AA28" s="160">
        <f t="shared" si="14"/>
        <v>72791.583333333328</v>
      </c>
      <c r="AB28" s="160">
        <f>IF(M28="","", VLOOKUP($B$6,rekenwaarden!M$8:T$12,4)*Q28)</f>
        <v>11483.333333333332</v>
      </c>
      <c r="AC28" s="160">
        <f t="shared" si="15"/>
        <v>126316.66666666663</v>
      </c>
      <c r="AD28" s="160">
        <f t="shared" si="16"/>
        <v>12989.279999999995</v>
      </c>
      <c r="AE28" s="160">
        <f t="shared" si="17"/>
        <v>0</v>
      </c>
      <c r="AF28" s="160">
        <f t="shared" si="23"/>
        <v>0</v>
      </c>
      <c r="AG28" s="160">
        <f t="shared" si="18"/>
        <v>0</v>
      </c>
      <c r="AH28" s="161">
        <f t="shared" ca="1" si="19"/>
        <v>0</v>
      </c>
      <c r="AI28" s="161">
        <f t="shared" ca="1" si="24"/>
        <v>0</v>
      </c>
      <c r="AJ28" s="161"/>
      <c r="AK28" s="161"/>
      <c r="AL28" s="164">
        <f t="shared" ca="1" si="25"/>
        <v>0</v>
      </c>
    </row>
    <row r="29" spans="1:38" s="113" customFormat="1" ht="15.65" customHeight="1" x14ac:dyDescent="0.25">
      <c r="A29" s="125"/>
      <c r="B29" s="126"/>
      <c r="C29" s="200"/>
      <c r="D29" s="163">
        <f t="shared" si="20"/>
        <v>12</v>
      </c>
      <c r="E29" s="150" t="str">
        <f t="shared" si="20"/>
        <v>december</v>
      </c>
      <c r="F29" s="151">
        <f t="shared" si="20"/>
        <v>46722</v>
      </c>
      <c r="G29" s="151">
        <f t="shared" si="20"/>
        <v>46752</v>
      </c>
      <c r="H29" s="189">
        <f t="shared" si="1"/>
        <v>156</v>
      </c>
      <c r="I29" s="192">
        <f t="shared" si="2"/>
        <v>3369.6</v>
      </c>
      <c r="J29" s="189">
        <f>IF($E29="","",IF($E30="",SUM(H29:H$30),H29))</f>
        <v>156</v>
      </c>
      <c r="K29" s="192">
        <f>IF($E29="","",IF($E30="",SUM(I29:I$30),I29))</f>
        <v>3369.6</v>
      </c>
      <c r="L29" s="152">
        <f t="shared" si="3"/>
        <v>40</v>
      </c>
      <c r="M29" s="151">
        <f t="shared" si="4"/>
        <v>46722</v>
      </c>
      <c r="N29" s="151">
        <f t="shared" si="5"/>
        <v>46752</v>
      </c>
      <c r="O29" s="150">
        <f t="shared" si="21"/>
        <v>31</v>
      </c>
      <c r="P29" s="153">
        <f t="shared" si="6"/>
        <v>1</v>
      </c>
      <c r="Q29" s="154">
        <f t="shared" si="7"/>
        <v>8.3333333333333329E-2</v>
      </c>
      <c r="R29" s="155">
        <f t="shared" si="8"/>
        <v>173.33333333333334</v>
      </c>
      <c r="S29" s="156">
        <f t="shared" si="9"/>
        <v>23272.799999999996</v>
      </c>
      <c r="T29" s="157">
        <f t="shared" si="10"/>
        <v>988</v>
      </c>
      <c r="U29" s="157">
        <f t="shared" si="11"/>
        <v>2079.9999999999995</v>
      </c>
      <c r="V29" s="158">
        <f t="shared" si="22"/>
        <v>0.47500000000000009</v>
      </c>
      <c r="W29" s="159">
        <f>IF(M29="","",VLOOKUP($B$6,rekenwaarden!M$8:N$12,2))</f>
        <v>8.31</v>
      </c>
      <c r="X29" s="160">
        <f t="shared" si="12"/>
        <v>1296.3600000000001</v>
      </c>
      <c r="Y29" s="160">
        <f t="shared" si="13"/>
        <v>8210.2800000000007</v>
      </c>
      <c r="Z29" s="160">
        <f>IF(M29="","", VLOOKUP(B$6,rekenwaarden!M$8:T$12,3)*Q29)</f>
        <v>6617.4166666666661</v>
      </c>
      <c r="AA29" s="160">
        <f t="shared" si="14"/>
        <v>79409</v>
      </c>
      <c r="AB29" s="160">
        <f>IF(M29="","", VLOOKUP($B$6,rekenwaarden!M$8:T$12,4)*Q29)</f>
        <v>11483.333333333332</v>
      </c>
      <c r="AC29" s="160">
        <f t="shared" si="15"/>
        <v>137799.99999999997</v>
      </c>
      <c r="AD29" s="160">
        <f t="shared" si="16"/>
        <v>15062.519999999995</v>
      </c>
      <c r="AE29" s="160">
        <f t="shared" si="17"/>
        <v>2073.2399999999998</v>
      </c>
      <c r="AF29" s="160">
        <f t="shared" si="23"/>
        <v>0</v>
      </c>
      <c r="AG29" s="160">
        <f t="shared" si="18"/>
        <v>0</v>
      </c>
      <c r="AH29" s="161">
        <f t="shared" ca="1" si="19"/>
        <v>615.75227999999993</v>
      </c>
      <c r="AI29" s="161">
        <f t="shared" ca="1" si="24"/>
        <v>0</v>
      </c>
      <c r="AJ29" s="161"/>
      <c r="AK29" s="161"/>
      <c r="AL29" s="164">
        <f t="shared" ca="1" si="25"/>
        <v>615.75227999999993</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row r="33" spans="1:1" x14ac:dyDescent="0.25">
      <c r="A33" s="217"/>
    </row>
  </sheetData>
  <sheetProtection algorithmName="SHA-512" hashValue="KWTBDbdR//K0/CEQ6vCCkGXXDyWyYhPKv1T2djyNWdZ/KD5DxD9j1z+f3jnq74IXxYk4SxFw/F99Wm3NGU+nYA==" saltValue="2v6p9UqEj8inWxNckvtmww==" spinCount="100000" sheet="1" objects="1" scenarios="1"/>
  <protectedRanges>
    <protectedRange sqref="K2:U14" name="Loonaangiftebericht"/>
    <protectedRange sqref="B1:B9" name="Persoon en IKV"/>
  </protectedRanges>
  <mergeCells count="2">
    <mergeCell ref="A11:B11"/>
    <mergeCell ref="D17:E17"/>
  </mergeCells>
  <dataValidations count="8">
    <dataValidation type="whole" allowBlank="1" showInputMessage="1" showErrorMessage="1" promptTitle="Handboek Loonheffingen: " prompt="Rekenkundig afgeronde hele uren" sqref="N2:N14" xr:uid="{FA2E01EF-3008-480E-8706-9706717943F9}">
      <formula1>-999</formula1>
      <formula2>999</formula2>
    </dataValidation>
    <dataValidation type="list" allowBlank="1" showInputMessage="1" showErrorMessage="1" sqref="K2:K14" xr:uid="{B1AA643E-B3E3-4B1D-8C7D-1BF0B9667F10}">
      <formula1>Code_Reden_Einde_Arbeidsverhouding</formula1>
    </dataValidation>
    <dataValidation type="list" allowBlank="1" showInputMessage="1" showErrorMessage="1" sqref="M2:M14" xr:uid="{E1EC3659-D728-44A1-B1D0-0D4DDB277E9D}">
      <formula1>Code_Aard_Arbeidsverhouding</formula1>
    </dataValidation>
    <dataValidation type="list" allowBlank="1" showInputMessage="1" showErrorMessage="1" sqref="L2:L14" xr:uid="{E9B54F8A-16D3-4B6C-9F37-9FBA7E97DB42}">
      <formula1>Code_Soort_IKV</formula1>
    </dataValidation>
    <dataValidation type="list" allowBlank="1" showInputMessage="1" showErrorMessage="1" sqref="C2" xr:uid="{2E43A1C1-D16F-495C-BE30-B4180D77103E}">
      <formula1>"maandelijks,vierwekelijks"</formula1>
    </dataValidation>
    <dataValidation type="list" allowBlank="1" showInputMessage="1" showErrorMessage="1" sqref="B1:C1" xr:uid="{D8A53277-1EBD-4B43-95B4-EA1696970B5E}">
      <formula1>"2027,2028"</formula1>
    </dataValidation>
    <dataValidation type="list" allowBlank="1" showInputMessage="1" showErrorMessage="1" sqref="B8:C8" xr:uid="{9BD66E4C-02BB-40DA-9A2F-6B5B068B4A71}">
      <formula1>"WAAR,NIET WAAR"</formula1>
    </dataValidation>
    <dataValidation type="list" allowBlank="1" showInputMessage="1" showErrorMessage="1" sqref="B2" xr:uid="{378C9C9D-C814-4296-94B7-851933D79818}">
      <formula1>"Maandelijks,Vierwekelijks"</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7899EEC-4B17-42C7-A636-7F3DC5EF58A1}">
          <x14:formula1>
            <xm:f>rekenwaarden!$M$8:$M$12</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5775F-2BDC-4692-9EF4-7012F4E49A2E}">
  <sheetPr>
    <tabColor theme="7" tint="-0.249977111117893"/>
  </sheetPr>
  <dimension ref="A1:AL33"/>
  <sheetViews>
    <sheetView showGridLines="0" zoomScale="90" zoomScaleNormal="90" workbookViewId="0">
      <pane xSplit="2" ySplit="30" topLeftCell="C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8164062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6.453125" bestFit="1" customWidth="1"/>
    <col min="22" max="33" width="15.81640625" customWidth="1"/>
    <col min="34" max="34" width="19.453125" bestFit="1" customWidth="1"/>
    <col min="35" max="35" width="20.453125" customWidth="1"/>
    <col min="36" max="36" width="12.81640625" bestFit="1" customWidth="1"/>
    <col min="37" max="37" width="17.1796875"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114" t="s">
        <v>18</v>
      </c>
      <c r="W1" s="121" t="s">
        <v>61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IF(OR(Datum_Einde_IKV="",Tabel135101112[[#This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IF(Tabel135101112[[#This Row],[Inkomsten-periode]]="","",DATEDIF(Geboortedatum,Tabel135101112[[#This Row],[DatEindTv]],"Y"))</f>
        <v>24</v>
      </c>
      <c r="I2" s="146">
        <f>IF(Tabel135101112[[#This Row],[Inkomsten-periode]]="","",IF(Datum_Aanvang_IKV="","",Datum_Aanvang_IKV))</f>
        <v>46388</v>
      </c>
      <c r="J2" s="146" t="str">
        <f>IF(Tabel135101112[[#This Row],[Inkomsten-periode]]="","",IF(Datum_Einde_IKV="","",IF(Datum_Einde_IKV&lt;=Tabel135101112[[#This Row],[DatEindTv]],Datum_Einde_IKV,"")))</f>
        <v/>
      </c>
      <c r="K2" s="138"/>
      <c r="L2" s="138">
        <v>15</v>
      </c>
      <c r="M2" s="138">
        <v>1</v>
      </c>
      <c r="N2" s="139">
        <v>0</v>
      </c>
      <c r="O2" s="140">
        <v>0</v>
      </c>
      <c r="P2" s="140">
        <v>0</v>
      </c>
      <c r="Q2" s="140">
        <v>0</v>
      </c>
      <c r="R2" s="140">
        <v>0</v>
      </c>
      <c r="S2" s="140">
        <v>0</v>
      </c>
      <c r="T2" s="140">
        <v>0</v>
      </c>
      <c r="U2" s="140"/>
      <c r="V2" s="184">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Row],[OpnAvwb]],0))))</f>
        <v>0</v>
      </c>
      <c r="W2" s="185">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Row],[AantVerlU]],0))))</f>
        <v>0</v>
      </c>
      <c r="X2" s="184" t="str">
        <f>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f>
        <v/>
      </c>
      <c r="Y2" s="185" t="str">
        <f>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f>
        <v/>
      </c>
    </row>
    <row r="3" spans="1:38" s="113" customFormat="1" ht="16.399999999999999" customHeight="1" x14ac:dyDescent="0.25">
      <c r="A3" s="122" t="s">
        <v>21</v>
      </c>
      <c r="B3" s="133">
        <v>37473</v>
      </c>
      <c r="C3" s="202"/>
      <c r="D3" s="145">
        <f>IF(OR(Datum_Einde_IKV&gt;G2,Datum_Einde_IKV=""),IF(AND($B$2="Maandelijks", COUNTIF($D$1:D2, 12)=1), "",IF(OR(AND($B$2="Maandelijks", D2=12),AND($B$2="Vierwekelijks", D2=13), D2 = "Periode"), 1, D2+1)),"")</f>
        <v>2</v>
      </c>
      <c r="E3" s="145" t="str">
        <f>IF(OR(Datum_Einde_IKV="",Tabel135101112[[#This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IF(Tabel135101112[[#This Row],[Inkomsten-periode]]="","",DATEDIF(Geboortedatum,Tabel135101112[[#This Row],[DatEindTv]],"Y"))</f>
        <v>24</v>
      </c>
      <c r="I3" s="146">
        <f>IF(Tabel135101112[[#This Row],[Inkomsten-periode]]="","",IF(Datum_Aanvang_IKV="","",Datum_Aanvang_IKV))</f>
        <v>46388</v>
      </c>
      <c r="J3" s="146" t="str">
        <f>IF(Tabel135101112[[#This Row],[Inkomsten-periode]]="","",IF(Datum_Einde_IKV="","",IF(Datum_Einde_IKV&lt;=Tabel135101112[[#This Row],[DatEindTv]],Datum_Einde_IKV,"")))</f>
        <v/>
      </c>
      <c r="K3" s="141"/>
      <c r="L3" s="141">
        <v>15</v>
      </c>
      <c r="M3" s="141">
        <v>1</v>
      </c>
      <c r="N3" s="142">
        <v>10</v>
      </c>
      <c r="O3" s="143">
        <v>200</v>
      </c>
      <c r="P3" s="143">
        <v>0</v>
      </c>
      <c r="Q3" s="143">
        <v>16</v>
      </c>
      <c r="R3" s="143">
        <v>0</v>
      </c>
      <c r="S3" s="143">
        <v>0</v>
      </c>
      <c r="T3" s="143">
        <v>200</v>
      </c>
      <c r="U3" s="143"/>
      <c r="V3" s="184">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Row],[OpnAvwb]],0))))</f>
        <v>216</v>
      </c>
      <c r="W3" s="186">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Row],[AantVerlU]],0))))</f>
        <v>10</v>
      </c>
      <c r="X3" s="184" t="str">
        <f>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f>
        <v/>
      </c>
      <c r="Y3" s="186" t="str">
        <f>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f>
        <v/>
      </c>
    </row>
    <row r="4" spans="1:38" s="113" customFormat="1" ht="16.399999999999999" customHeight="1" x14ac:dyDescent="0.25">
      <c r="A4" s="122" t="s">
        <v>22</v>
      </c>
      <c r="B4" s="134">
        <v>46388</v>
      </c>
      <c r="C4" s="202"/>
      <c r="D4" s="144">
        <f>IF(OR(Datum_Einde_IKV&gt;G3,Datum_Einde_IKV=""),IF(AND($B$2="Maandelijks", COUNTIF($D$1:D3, 12)=1), "",IF(OR(AND($B$2="Maandelijks", D3=12),AND($B$2="Vierwekelijks", D3=13), D3 = "Periode"), 1, D3+1)),"")</f>
        <v>3</v>
      </c>
      <c r="E4" s="145" t="str">
        <f>IF(OR(Datum_Einde_IKV="",Tabel135101112[[#This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IF(Tabel135101112[[#This Row],[Inkomsten-periode]]="","",DATEDIF(Geboortedatum,Tabel135101112[[#This Row],[DatEindTv]],"Y"))</f>
        <v>24</v>
      </c>
      <c r="I4" s="146">
        <f>IF(Tabel135101112[[#This Row],[Inkomsten-periode]]="","",IF(Datum_Aanvang_IKV="","",Datum_Aanvang_IKV))</f>
        <v>46388</v>
      </c>
      <c r="J4" s="146" t="str">
        <f>IF(Tabel135101112[[#This Row],[Inkomsten-periode]]="","",IF(Datum_Einde_IKV="","",IF(Datum_Einde_IKV&lt;=Tabel135101112[[#This Row],[DatEindTv]],Datum_Einde_IKV,"")))</f>
        <v/>
      </c>
      <c r="K4" s="138"/>
      <c r="L4" s="138">
        <v>15</v>
      </c>
      <c r="M4" s="138">
        <v>1</v>
      </c>
      <c r="N4" s="139">
        <v>173</v>
      </c>
      <c r="O4" s="140">
        <v>3460</v>
      </c>
      <c r="P4" s="140">
        <v>0</v>
      </c>
      <c r="Q4" s="140">
        <v>276.8</v>
      </c>
      <c r="R4" s="140">
        <v>0</v>
      </c>
      <c r="S4" s="140">
        <v>0</v>
      </c>
      <c r="T4" s="140">
        <v>3460</v>
      </c>
      <c r="U4" s="140"/>
      <c r="V4" s="184">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Row],[OpnAvwb]],0))))</f>
        <v>3736.8</v>
      </c>
      <c r="W4" s="186">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Row],[AantVerlU]],0))))</f>
        <v>173</v>
      </c>
      <c r="X4" s="184" t="str">
        <f>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f>
        <v/>
      </c>
      <c r="Y4" s="186" t="str">
        <f>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f>
        <v/>
      </c>
    </row>
    <row r="5" spans="1:38" s="113" customFormat="1" ht="16.399999999999999" customHeight="1" x14ac:dyDescent="0.25">
      <c r="A5" s="122" t="s">
        <v>23</v>
      </c>
      <c r="B5" s="133"/>
      <c r="C5" s="202"/>
      <c r="D5" s="145">
        <f>IF(OR(Datum_Einde_IKV&gt;G4,Datum_Einde_IKV=""),IF(AND($B$2="Maandelijks", COUNTIF($D$1:D4, 12)=1), "",IF(OR(AND($B$2="Maandelijks", D4=12),AND($B$2="Vierwekelijks", D4=13), D4 = "Periode"), 1, D4+1)),"")</f>
        <v>4</v>
      </c>
      <c r="E5" s="145" t="str">
        <f>IF(OR(Datum_Einde_IKV="",Tabel135101112[[#This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IF(Tabel135101112[[#This Row],[Inkomsten-periode]]="","",DATEDIF(Geboortedatum,Tabel135101112[[#This Row],[DatEindTv]],"Y"))</f>
        <v>24</v>
      </c>
      <c r="I5" s="146">
        <f>IF(Tabel135101112[[#This Row],[Inkomsten-periode]]="","",IF(Datum_Aanvang_IKV="","",Datum_Aanvang_IKV))</f>
        <v>46388</v>
      </c>
      <c r="J5" s="146" t="str">
        <f>IF(Tabel135101112[[#This Row],[Inkomsten-periode]]="","",IF(Datum_Einde_IKV="","",IF(Datum_Einde_IKV&lt;=Tabel135101112[[#This Row],[DatEindTv]],Datum_Einde_IKV,"")))</f>
        <v/>
      </c>
      <c r="K5" s="141"/>
      <c r="L5" s="141">
        <v>15</v>
      </c>
      <c r="M5" s="141">
        <v>1</v>
      </c>
      <c r="N5" s="142">
        <v>193</v>
      </c>
      <c r="O5" s="143">
        <v>3860</v>
      </c>
      <c r="P5" s="143">
        <v>0</v>
      </c>
      <c r="Q5" s="143">
        <v>308.8</v>
      </c>
      <c r="R5" s="143">
        <v>0</v>
      </c>
      <c r="S5" s="143">
        <v>0</v>
      </c>
      <c r="T5" s="143">
        <v>3860</v>
      </c>
      <c r="U5" s="143"/>
      <c r="V5" s="184">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Row],[OpnAvwb]],0))))</f>
        <v>4168.8</v>
      </c>
      <c r="W5" s="186">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Row],[AantVerlU]],0))))</f>
        <v>193</v>
      </c>
      <c r="X5" s="184" t="str">
        <f>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f>
        <v/>
      </c>
      <c r="Y5" s="186" t="str">
        <f>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f>
        <v/>
      </c>
    </row>
    <row r="6" spans="1:38" s="113" customFormat="1" ht="16.399999999999999" customHeight="1" x14ac:dyDescent="0.25">
      <c r="A6" s="122" t="s">
        <v>24</v>
      </c>
      <c r="B6" s="135" t="s">
        <v>25</v>
      </c>
      <c r="C6" s="203"/>
      <c r="D6" s="144">
        <f>IF(OR(Datum_Einde_IKV&gt;G5,Datum_Einde_IKV=""),IF(AND($B$2="Maandelijks", COUNTIF($D$1:D5, 12)=1), "",IF(OR(AND($B$2="Maandelijks", D5=12),AND($B$2="Vierwekelijks", D5=13), D5 = "Periode"), 1, D5+1)),"")</f>
        <v>5</v>
      </c>
      <c r="E6" s="145" t="str">
        <f>IF(OR(Datum_Einde_IKV="",Tabel135101112[[#This Row],[DatAanvTv]]&lt;Datum_Einde_IKV),IF(E5="december","",IF(Verloningsperiodiciteit="maandelijks",rekenwaarden!F7,_xlfn.CONCAT("Periode ",rekenwaarden!E7))),"")</f>
        <v>mei</v>
      </c>
      <c r="F6" s="146">
        <f t="shared" si="0"/>
        <v>46508</v>
      </c>
      <c r="G6" s="146">
        <f>IF(F6="", "", IF(Verloningsperiodiciteit="Vierwekelijks", _xlfn.XLOOKUP(F6,rekenwaarden!$C$3:$C$54,rekenwaarden!$D$3:$D$54,"niet gevonden",-1), _xlfn.XLOOKUP(F6,rekenwaarden!$I$3:$I$54,rekenwaarden!$J$3:$J$54,"niet gevonden",-1)))</f>
        <v>46538</v>
      </c>
      <c r="H6" s="147">
        <f>IF(Tabel135101112[[#This Row],[Inkomsten-periode]]="","",DATEDIF(Geboortedatum,Tabel135101112[[#This Row],[DatEindTv]],"Y"))</f>
        <v>24</v>
      </c>
      <c r="I6" s="146">
        <f>IF(Tabel135101112[[#This Row],[Inkomsten-periode]]="","",IF(Datum_Aanvang_IKV="","",Datum_Aanvang_IKV))</f>
        <v>46388</v>
      </c>
      <c r="J6" s="146" t="str">
        <f>IF(Tabel135101112[[#This Row],[Inkomsten-periode]]="","",IF(Datum_Einde_IKV="","",IF(Datum_Einde_IKV&lt;=Tabel135101112[[#This Row],[DatEindTv]],Datum_Einde_IKV,"")))</f>
        <v/>
      </c>
      <c r="K6" s="138"/>
      <c r="L6" s="138">
        <v>15</v>
      </c>
      <c r="M6" s="138">
        <v>1</v>
      </c>
      <c r="N6" s="139">
        <v>-20</v>
      </c>
      <c r="O6" s="140">
        <v>-400</v>
      </c>
      <c r="P6" s="140">
        <v>0</v>
      </c>
      <c r="Q6" s="140">
        <v>-32</v>
      </c>
      <c r="R6" s="140">
        <v>0</v>
      </c>
      <c r="S6" s="140">
        <v>0</v>
      </c>
      <c r="T6" s="140">
        <v>-400</v>
      </c>
      <c r="U6" s="140"/>
      <c r="V6" s="184">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Row],[OpnAvwb]],0))))</f>
        <v>-432</v>
      </c>
      <c r="W6" s="186">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Row],[AantVerlU]],0))))</f>
        <v>-20</v>
      </c>
      <c r="X6" s="184" t="str">
        <f>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f>
        <v/>
      </c>
      <c r="Y6" s="186" t="str">
        <f>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f>
        <v/>
      </c>
    </row>
    <row r="7" spans="1:38" s="113" customFormat="1" ht="16.399999999999999" customHeight="1" x14ac:dyDescent="0.25">
      <c r="A7" s="122" t="s">
        <v>26</v>
      </c>
      <c r="B7" s="136">
        <f>VLOOKUP(B6,rekenwaarden!M8:T12,8)</f>
        <v>40</v>
      </c>
      <c r="C7" s="204"/>
      <c r="D7" s="145">
        <f>IF(OR(Datum_Einde_IKV&gt;G6,Datum_Einde_IKV=""),IF(AND($B$2="Maandelijks", COUNTIF($D$1:D6, 12)=1), "",IF(OR(AND($B$2="Maandelijks", D6=12),AND($B$2="Vierwekelijks", D6=13), D6 = "Periode"), 1, D6+1)),"")</f>
        <v>6</v>
      </c>
      <c r="E7" s="145" t="str">
        <f>IF(OR(Datum_Einde_IKV="",Tabel135101112[[#This Row],[DatAanvTv]]&lt;Datum_Einde_IKV),IF(E6="december","",IF(Verloningsperiodiciteit="maandelijks",rekenwaarden!F8,_xlfn.CONCAT("Periode ",rekenwaarden!E8))),"")</f>
        <v>juni</v>
      </c>
      <c r="F7" s="146">
        <f t="shared" si="0"/>
        <v>46539</v>
      </c>
      <c r="G7" s="146">
        <f>IF(F7="", "", IF(Verloningsperiodiciteit="Vierwekelijks", _xlfn.XLOOKUP(F7,rekenwaarden!$C$3:$C$54,rekenwaarden!$D$3:$D$54,"niet gevonden",-1), _xlfn.XLOOKUP(F7,rekenwaarden!$I$3:$I$54,rekenwaarden!$J$3:$J$54,"niet gevonden",-1)))</f>
        <v>46568</v>
      </c>
      <c r="H7" s="147">
        <f>IF(Tabel135101112[[#This Row],[Inkomsten-periode]]="","",DATEDIF(Geboortedatum,Tabel135101112[[#This Row],[DatEindTv]],"Y"))</f>
        <v>24</v>
      </c>
      <c r="I7" s="146">
        <f>IF(Tabel135101112[[#This Row],[Inkomsten-periode]]="","",IF(Datum_Aanvang_IKV="","",Datum_Aanvang_IKV))</f>
        <v>46388</v>
      </c>
      <c r="J7" s="146" t="str">
        <f>IF(Tabel135101112[[#This Row],[Inkomsten-periode]]="","",IF(Datum_Einde_IKV="","",IF(Datum_Einde_IKV&lt;=Tabel135101112[[#This Row],[DatEindTv]],Datum_Einde_IKV,"")))</f>
        <v/>
      </c>
      <c r="K7" s="141"/>
      <c r="L7" s="141">
        <v>15</v>
      </c>
      <c r="M7" s="141">
        <v>1</v>
      </c>
      <c r="N7" s="142">
        <v>80</v>
      </c>
      <c r="O7" s="143">
        <v>1600</v>
      </c>
      <c r="P7" s="143">
        <v>0</v>
      </c>
      <c r="Q7" s="143">
        <v>128</v>
      </c>
      <c r="R7" s="143">
        <v>0</v>
      </c>
      <c r="S7" s="143">
        <v>0</v>
      </c>
      <c r="T7" s="143">
        <v>1600</v>
      </c>
      <c r="U7" s="143"/>
      <c r="V7" s="184">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Row],[OpnAvwb]],0))))</f>
        <v>1728</v>
      </c>
      <c r="W7" s="186">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Row],[AantVerlU]],0))))</f>
        <v>80</v>
      </c>
      <c r="X7" s="184" t="str">
        <f>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f>
        <v/>
      </c>
      <c r="Y7" s="186" t="str">
        <f>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f>
        <v/>
      </c>
    </row>
    <row r="8" spans="1:38" s="113" customFormat="1" ht="16.399999999999999" customHeight="1" x14ac:dyDescent="0.25">
      <c r="A8" s="122" t="s">
        <v>27</v>
      </c>
      <c r="B8" s="137" t="b">
        <v>1</v>
      </c>
      <c r="C8" s="202"/>
      <c r="D8" s="144">
        <f>IF(OR(Datum_Einde_IKV&gt;G7,Datum_Einde_IKV=""),IF(AND($B$2="Maandelijks", COUNTIF($D$1:D7, 12)=1), "",IF(OR(AND($B$2="Maandelijks", D7=12),AND($B$2="Vierwekelijks", D7=13), D7 = "Periode"), 1, D7+1)),"")</f>
        <v>7</v>
      </c>
      <c r="E8" s="145" t="str">
        <f>IF(OR(Datum_Einde_IKV="",Tabel135101112[[#This Row],[DatAanvTv]]&lt;Datum_Einde_IKV),IF(E7="december","",IF(Verloningsperiodiciteit="maandelijks",rekenwaarden!F9,_xlfn.CONCAT("Periode ",rekenwaarden!E9))),"")</f>
        <v>juli</v>
      </c>
      <c r="F8" s="146">
        <f t="shared" si="0"/>
        <v>46569</v>
      </c>
      <c r="G8" s="146">
        <f>IF(F8="", "", IF(Verloningsperiodiciteit="Vierwekelijks", _xlfn.XLOOKUP(F8,rekenwaarden!$C$3:$C$54,rekenwaarden!$D$3:$D$54,"niet gevonden",-1), _xlfn.XLOOKUP(F8,rekenwaarden!$I$3:$I$54,rekenwaarden!$J$3:$J$54,"niet gevonden",-1)))</f>
        <v>46599</v>
      </c>
      <c r="H8" s="147">
        <f>IF(Tabel135101112[[#This Row],[Inkomsten-periode]]="","",DATEDIF(Geboortedatum,Tabel135101112[[#This Row],[DatEindTv]],"Y"))</f>
        <v>24</v>
      </c>
      <c r="I8" s="146">
        <f>IF(Tabel135101112[[#This Row],[Inkomsten-periode]]="","",IF(Datum_Aanvang_IKV="","",Datum_Aanvang_IKV))</f>
        <v>46388</v>
      </c>
      <c r="J8" s="146" t="str">
        <f>IF(Tabel135101112[[#This Row],[Inkomsten-periode]]="","",IF(Datum_Einde_IKV="","",IF(Datum_Einde_IKV&lt;=Tabel135101112[[#This Row],[DatEindTv]],Datum_Einde_IKV,"")))</f>
        <v/>
      </c>
      <c r="K8" s="138"/>
      <c r="L8" s="138">
        <v>15</v>
      </c>
      <c r="M8" s="138">
        <v>1</v>
      </c>
      <c r="N8" s="139">
        <v>80</v>
      </c>
      <c r="O8" s="140">
        <v>1600</v>
      </c>
      <c r="P8" s="140">
        <v>0</v>
      </c>
      <c r="Q8" s="140">
        <v>128</v>
      </c>
      <c r="R8" s="140">
        <v>0</v>
      </c>
      <c r="S8" s="140">
        <v>0</v>
      </c>
      <c r="T8" s="140">
        <v>1600</v>
      </c>
      <c r="U8" s="140"/>
      <c r="V8" s="184">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Row],[OpnAvwb]],0))))</f>
        <v>1728</v>
      </c>
      <c r="W8" s="186">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Row],[AantVerlU]],0))))</f>
        <v>80</v>
      </c>
      <c r="X8" s="184" t="str">
        <f>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f>
        <v/>
      </c>
      <c r="Y8" s="186" t="str">
        <f>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f>
        <v/>
      </c>
    </row>
    <row r="9" spans="1:38" s="113" customFormat="1" ht="16.399999999999999" customHeight="1" x14ac:dyDescent="0.25">
      <c r="A9" s="122"/>
      <c r="B9" s="131"/>
      <c r="C9" s="200"/>
      <c r="D9" s="145">
        <f>IF(OR(Datum_Einde_IKV&gt;G8,Datum_Einde_IKV=""),IF(AND($B$2="Maandelijks", COUNTIF($D$1:D8, 12)=1), "",IF(OR(AND($B$2="Maandelijks", D8=12),AND($B$2="Vierwekelijks", D8=13), D8 = "Periode"), 1, D8+1)),"")</f>
        <v>8</v>
      </c>
      <c r="E9" s="145" t="str">
        <f>IF(OR(Datum_Einde_IKV="",Tabel135101112[[#This Row],[DatAanvTv]]&lt;Datum_Einde_IKV),IF(E8="december","",IF(Verloningsperiodiciteit="maandelijks",rekenwaarden!F10,_xlfn.CONCAT("Periode ",rekenwaarden!E10))),"")</f>
        <v>augustus</v>
      </c>
      <c r="F9" s="146">
        <f t="shared" si="0"/>
        <v>46600</v>
      </c>
      <c r="G9" s="146">
        <f>IF(F9="", "", IF(Verloningsperiodiciteit="Vierwekelijks", _xlfn.XLOOKUP(F9,rekenwaarden!$C$3:$C$54,rekenwaarden!$D$3:$D$54,"niet gevonden",-1), _xlfn.XLOOKUP(F9,rekenwaarden!$I$3:$I$54,rekenwaarden!$J$3:$J$54,"niet gevonden",-1)))</f>
        <v>46630</v>
      </c>
      <c r="H9" s="147">
        <f>IF(Tabel135101112[[#This Row],[Inkomsten-periode]]="","",DATEDIF(Geboortedatum,Tabel135101112[[#This Row],[DatEindTv]],"Y"))</f>
        <v>25</v>
      </c>
      <c r="I9" s="146">
        <f>IF(Tabel135101112[[#This Row],[Inkomsten-periode]]="","",IF(Datum_Aanvang_IKV="","",Datum_Aanvang_IKV))</f>
        <v>46388</v>
      </c>
      <c r="J9" s="146" t="str">
        <f>IF(Tabel135101112[[#This Row],[Inkomsten-periode]]="","",IF(Datum_Einde_IKV="","",IF(Datum_Einde_IKV&lt;=Tabel135101112[[#This Row],[DatEindTv]],Datum_Einde_IKV,"")))</f>
        <v/>
      </c>
      <c r="K9" s="141"/>
      <c r="L9" s="141">
        <v>15</v>
      </c>
      <c r="M9" s="141">
        <v>1</v>
      </c>
      <c r="N9" s="142">
        <v>0</v>
      </c>
      <c r="O9" s="143">
        <v>0</v>
      </c>
      <c r="P9" s="143">
        <v>0</v>
      </c>
      <c r="Q9" s="143">
        <v>0</v>
      </c>
      <c r="R9" s="143">
        <v>0</v>
      </c>
      <c r="S9" s="143">
        <v>0</v>
      </c>
      <c r="T9" s="143">
        <v>0</v>
      </c>
      <c r="U9" s="143"/>
      <c r="V9" s="184">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Row],[OpnAvwb]],0))))</f>
        <v>0</v>
      </c>
      <c r="W9" s="186">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Row],[AantVerlU]],0))))</f>
        <v>0</v>
      </c>
      <c r="X9" s="184"/>
      <c r="Y9" s="186"/>
    </row>
    <row r="10" spans="1:38" s="113" customFormat="1" ht="16.399999999999999" customHeight="1" thickBot="1" x14ac:dyDescent="0.3">
      <c r="A10" s="200"/>
      <c r="B10" s="200"/>
      <c r="C10" s="200"/>
      <c r="D10" s="144">
        <f>IF(OR(Datum_Einde_IKV&gt;G9,Datum_Einde_IKV=""),IF(AND($B$2="Maandelijks", COUNTIF($D$1:D9, 12)=1), "",IF(OR(AND($B$2="Maandelijks", D9=12),AND($B$2="Vierwekelijks", D9=13), D9 = "Periode"), 1, D9+1)),"")</f>
        <v>9</v>
      </c>
      <c r="E10" s="145" t="str">
        <f>IF(OR(Datum_Einde_IKV="",Tabel135101112[[#This Row],[DatAanvTv]]&lt;Datum_Einde_IKV),IF(E9="december","",IF(Verloningsperiodiciteit="maandelijks",rekenwaarden!F11,_xlfn.CONCAT("Periode ",rekenwaarden!E11))),"")</f>
        <v>september</v>
      </c>
      <c r="F10" s="146">
        <f t="shared" si="0"/>
        <v>46631</v>
      </c>
      <c r="G10" s="146">
        <f>IF(F10="", "", IF(Verloningsperiodiciteit="Vierwekelijks", _xlfn.XLOOKUP(F10,rekenwaarden!$C$3:$C$54,rekenwaarden!$D$3:$D$54,"niet gevonden",-1), _xlfn.XLOOKUP(F10,rekenwaarden!$I$3:$I$54,rekenwaarden!$J$3:$J$54,"niet gevonden",-1)))</f>
        <v>46660</v>
      </c>
      <c r="H10" s="147">
        <f>IF(Tabel135101112[[#This Row],[Inkomsten-periode]]="","",DATEDIF(Geboortedatum,Tabel135101112[[#This Row],[DatEindTv]],"Y"))</f>
        <v>25</v>
      </c>
      <c r="I10" s="146">
        <f>IF(Tabel135101112[[#This Row],[Inkomsten-periode]]="","",IF(Datum_Aanvang_IKV="","",Datum_Aanvang_IKV))</f>
        <v>46388</v>
      </c>
      <c r="J10" s="146" t="str">
        <f>IF(Tabel135101112[[#This Row],[Inkomsten-periode]]="","",IF(Datum_Einde_IKV="","",IF(Datum_Einde_IKV&lt;=Tabel135101112[[#This Row],[DatEindTv]],Datum_Einde_IKV,"")))</f>
        <v/>
      </c>
      <c r="K10" s="138"/>
      <c r="L10" s="138">
        <v>15</v>
      </c>
      <c r="M10" s="138">
        <v>1</v>
      </c>
      <c r="N10" s="139">
        <v>180</v>
      </c>
      <c r="O10" s="140">
        <v>3600</v>
      </c>
      <c r="P10" s="140">
        <v>0</v>
      </c>
      <c r="Q10" s="140">
        <v>288</v>
      </c>
      <c r="R10" s="140">
        <v>0</v>
      </c>
      <c r="S10" s="140">
        <v>0</v>
      </c>
      <c r="T10" s="140">
        <v>3600</v>
      </c>
      <c r="U10" s="140"/>
      <c r="V10" s="184">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Row],[OpnAvwb]],0))))</f>
        <v>3888</v>
      </c>
      <c r="W10" s="186">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Row],[AantVerlU]],0))))</f>
        <v>180</v>
      </c>
      <c r="X10" s="184"/>
      <c r="Y10" s="186"/>
    </row>
    <row r="11" spans="1:38" s="113" customFormat="1" ht="16.399999999999999" customHeight="1" x14ac:dyDescent="0.25">
      <c r="A11" s="245" t="s">
        <v>65</v>
      </c>
      <c r="B11" s="246"/>
      <c r="C11" s="200"/>
      <c r="D11" s="145">
        <f>IF(OR(Datum_Einde_IKV&gt;G10,Datum_Einde_IKV=""),IF(AND($B$2="Maandelijks", COUNTIF($D$1:D10, 12)=1), "",IF(OR(AND($B$2="Maandelijks", D10=12),AND($B$2="Vierwekelijks", D10=13), D10 = "Periode"), 1, D10+1)),"")</f>
        <v>10</v>
      </c>
      <c r="E11" s="145" t="str">
        <f>IF(OR(Datum_Einde_IKV="",Tabel135101112[[#This Row],[DatAanvTv]]&lt;Datum_Einde_IKV),IF(E10="december","",IF(Verloningsperiodiciteit="maandelijks",rekenwaarden!F12,_xlfn.CONCAT("Periode ",rekenwaarden!E12))),"")</f>
        <v>oktober</v>
      </c>
      <c r="F11" s="146">
        <f t="shared" si="0"/>
        <v>46661</v>
      </c>
      <c r="G11" s="146">
        <f>IF(F11="", "", IF(Verloningsperiodiciteit="Vierwekelijks", _xlfn.XLOOKUP(F11,rekenwaarden!$C$3:$C$54,rekenwaarden!$D$3:$D$54,"niet gevonden",-1), _xlfn.XLOOKUP(F11,rekenwaarden!$I$3:$I$54,rekenwaarden!$J$3:$J$54,"niet gevonden",-1)))</f>
        <v>46691</v>
      </c>
      <c r="H11" s="147">
        <f>IF(Tabel135101112[[#This Row],[Inkomsten-periode]]="","",DATEDIF(Geboortedatum,Tabel135101112[[#This Row],[DatEindTv]],"Y"))</f>
        <v>25</v>
      </c>
      <c r="I11" s="146">
        <f>IF(Tabel135101112[[#This Row],[Inkomsten-periode]]="","",IF(Datum_Aanvang_IKV="","",Datum_Aanvang_IKV))</f>
        <v>46388</v>
      </c>
      <c r="J11" s="146" t="str">
        <f>IF(Tabel135101112[[#This Row],[Inkomsten-periode]]="","",IF(Datum_Einde_IKV="","",IF(Datum_Einde_IKV&lt;=Tabel135101112[[#This Row],[DatEindTv]],Datum_Einde_IKV,"")))</f>
        <v/>
      </c>
      <c r="K11" s="141"/>
      <c r="L11" s="141">
        <v>15</v>
      </c>
      <c r="M11" s="141">
        <v>1</v>
      </c>
      <c r="N11" s="142">
        <v>136</v>
      </c>
      <c r="O11" s="143">
        <v>2720</v>
      </c>
      <c r="P11" s="143">
        <v>0</v>
      </c>
      <c r="Q11" s="143">
        <v>217.6</v>
      </c>
      <c r="R11" s="143">
        <v>0</v>
      </c>
      <c r="S11" s="143">
        <v>0</v>
      </c>
      <c r="T11" s="143">
        <v>2720</v>
      </c>
      <c r="U11" s="143"/>
      <c r="V11" s="184">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Row],[OpnAvwb]],0))))</f>
        <v>2937.6</v>
      </c>
      <c r="W11" s="186">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Row],[AantVerlU]],0))))</f>
        <v>136</v>
      </c>
      <c r="X11" s="184"/>
      <c r="Y11" s="186"/>
    </row>
    <row r="12" spans="1:38" s="113" customFormat="1" ht="16.399999999999999" customHeight="1" x14ac:dyDescent="0.25">
      <c r="A12" s="125" t="s">
        <v>191</v>
      </c>
      <c r="B12" s="126"/>
      <c r="C12" s="200"/>
      <c r="D12" s="144">
        <f>IF(OR(Datum_Einde_IKV&gt;G11,Datum_Einde_IKV=""),IF(AND($B$2="Maandelijks", COUNTIF($D$1:D11, 12)=1), "",IF(OR(AND($B$2="Maandelijks", D11=12),AND($B$2="Vierwekelijks", D11=13), D11 = "Periode"), 1, D11+1)),"")</f>
        <v>11</v>
      </c>
      <c r="E12" s="145" t="str">
        <f>IF(OR(Datum_Einde_IKV="",Tabel135101112[[#This Row],[DatAanvTv]]&lt;Datum_Einde_IKV),IF(E11="december","",IF(Verloningsperiodiciteit="maandelijks",rekenwaarden!F13,_xlfn.CONCAT("Periode ",rekenwaarden!E13))),"")</f>
        <v>november</v>
      </c>
      <c r="F12" s="146">
        <f t="shared" si="0"/>
        <v>46692</v>
      </c>
      <c r="G12" s="146">
        <f>IF(F12="", "", IF(Verloningsperiodiciteit="Vierwekelijks", _xlfn.XLOOKUP(F12,rekenwaarden!$C$3:$C$54,rekenwaarden!$D$3:$D$54,"niet gevonden",-1), _xlfn.XLOOKUP(F12,rekenwaarden!$I$3:$I$54,rekenwaarden!$J$3:$J$54,"niet gevonden",-1)))</f>
        <v>46721</v>
      </c>
      <c r="H12" s="147">
        <f>IF(Tabel135101112[[#This Row],[Inkomsten-periode]]="","",DATEDIF(Geboortedatum,Tabel135101112[[#This Row],[DatEindTv]],"Y"))</f>
        <v>25</v>
      </c>
      <c r="I12" s="146">
        <f>IF(Tabel135101112[[#This Row],[Inkomsten-periode]]="","",IF(Datum_Aanvang_IKV="","",Datum_Aanvang_IKV))</f>
        <v>46388</v>
      </c>
      <c r="J12" s="146" t="str">
        <f>IF(Tabel135101112[[#This Row],[Inkomsten-periode]]="","",IF(Datum_Einde_IKV="","",IF(Datum_Einde_IKV&lt;=Tabel135101112[[#This Row],[DatEindTv]],Datum_Einde_IKV,"")))</f>
        <v/>
      </c>
      <c r="K12" s="138"/>
      <c r="L12" s="138">
        <v>15</v>
      </c>
      <c r="M12" s="138">
        <v>1</v>
      </c>
      <c r="N12" s="139">
        <v>0</v>
      </c>
      <c r="O12" s="140">
        <v>0</v>
      </c>
      <c r="P12" s="140">
        <v>0</v>
      </c>
      <c r="Q12" s="140">
        <v>0</v>
      </c>
      <c r="R12" s="140">
        <v>0</v>
      </c>
      <c r="S12" s="140">
        <v>0</v>
      </c>
      <c r="T12" s="140">
        <v>0</v>
      </c>
      <c r="U12" s="140"/>
      <c r="V12" s="184">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Row],[OpnAvwb]],0))))</f>
        <v>0</v>
      </c>
      <c r="W12" s="186">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Row],[AantVerlU]],0))))</f>
        <v>0</v>
      </c>
      <c r="X12" s="184"/>
      <c r="Y12" s="186"/>
    </row>
    <row r="13" spans="1:38" s="113" customFormat="1" ht="16.399999999999999" customHeight="1" x14ac:dyDescent="0.25">
      <c r="A13" s="125" t="s">
        <v>186</v>
      </c>
      <c r="B13" s="126"/>
      <c r="C13" s="200"/>
      <c r="D13" s="145">
        <f>IF(OR(Datum_Einde_IKV&gt;G12,Datum_Einde_IKV=""),IF(AND($B$2="Maandelijks", COUNTIF($D$1:D12, 12)=1), "",IF(OR(AND($B$2="Maandelijks", D12=12),AND($B$2="Vierwekelijks", D12=13), D12 = "Periode"), 1, D12+1)),"")</f>
        <v>12</v>
      </c>
      <c r="E13" s="145" t="str">
        <f>IF(OR(Datum_Einde_IKV="",Tabel135101112[[#This Row],[DatAanvTv]]&lt;Datum_Einde_IKV),IF(E12="december","",IF(Verloningsperiodiciteit="maandelijks",rekenwaarden!F14,_xlfn.CONCAT("Periode ",rekenwaarden!E14))),"")</f>
        <v>december</v>
      </c>
      <c r="F13" s="146">
        <f t="shared" si="0"/>
        <v>46722</v>
      </c>
      <c r="G13" s="146">
        <f>IF(F13="", "", IF(Verloningsperiodiciteit="Vierwekelijks", _xlfn.XLOOKUP(F13,rekenwaarden!$C$3:$C$54,rekenwaarden!$D$3:$D$54,"niet gevonden",-1), _xlfn.XLOOKUP(F13,rekenwaarden!$I$3:$I$54,rekenwaarden!$J$3:$J$54,"niet gevonden",-1)))</f>
        <v>46752</v>
      </c>
      <c r="H13" s="147">
        <f>IF(Tabel135101112[[#This Row],[Inkomsten-periode]]="","",DATEDIF(Geboortedatum,Tabel135101112[[#This Row],[DatEindTv]],"Y"))</f>
        <v>25</v>
      </c>
      <c r="I13" s="146">
        <f>IF(Tabel135101112[[#This Row],[Inkomsten-periode]]="","",IF(Datum_Aanvang_IKV="","",Datum_Aanvang_IKV))</f>
        <v>46388</v>
      </c>
      <c r="J13" s="146" t="str">
        <f>IF(Tabel135101112[[#This Row],[Inkomsten-periode]]="","",IF(Datum_Einde_IKV="","",IF(Datum_Einde_IKV&lt;=Tabel135101112[[#This Row],[DatEindTv]],Datum_Einde_IKV,"")))</f>
        <v/>
      </c>
      <c r="K13" s="141"/>
      <c r="L13" s="141">
        <v>15</v>
      </c>
      <c r="M13" s="141">
        <v>1</v>
      </c>
      <c r="N13" s="142">
        <v>156</v>
      </c>
      <c r="O13" s="143">
        <v>3120</v>
      </c>
      <c r="P13" s="143">
        <v>0</v>
      </c>
      <c r="Q13" s="143">
        <v>249.6</v>
      </c>
      <c r="R13" s="143">
        <v>0</v>
      </c>
      <c r="S13" s="143">
        <v>0</v>
      </c>
      <c r="T13" s="143">
        <v>3120</v>
      </c>
      <c r="U13" s="143"/>
      <c r="V13" s="184">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Row],[OpnAvwb]],0))))</f>
        <v>3369.6</v>
      </c>
      <c r="W13" s="186">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Row],[AantVerlU]],0))))</f>
        <v>156</v>
      </c>
      <c r="X13" s="184"/>
      <c r="Y13" s="186"/>
    </row>
    <row r="14" spans="1:38" s="113" customFormat="1" ht="16.399999999999999" customHeight="1" x14ac:dyDescent="0.25">
      <c r="A14" s="125" t="s">
        <v>187</v>
      </c>
      <c r="B14" s="126"/>
      <c r="C14" s="200"/>
      <c r="D14" s="144" t="str">
        <f>IF(OR(Datum_Einde_IKV&gt;G13,Datum_Einde_IKV=""),IF(AND($B$2="Maandelijks", COUNTIF($D$1:D13, 12)=1), "",IF(OR(AND($B$2="Maandelijks", D13=12),AND($B$2="Vierwekelijks", D13=13), D13 = "Periode"), 1, D13+1)),"")</f>
        <v/>
      </c>
      <c r="E14" s="145" t="str">
        <f>IF(OR(Datum_Einde_IKV="",Tabel135101112[[#This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IF(Tabel135101112[[#This Row],[Inkomsten-periode]]="","",DATEDIF(Geboortedatum,Tabel135101112[[#This Row],[DatEindTv]],"Y"))</f>
        <v/>
      </c>
      <c r="I14" s="146" t="str">
        <f>IF(Tabel135101112[[#This Row],[Inkomsten-periode]]="","",IF(Datum_Aanvang_IKV="","",Datum_Aanvang_IKV))</f>
        <v/>
      </c>
      <c r="J14" s="146" t="str">
        <f>IF(Tabel135101112[[#This Row],[Inkomsten-periode]]="","",IF(Datum_Einde_IKV="","",IF(Datum_Einde_IKV&lt;=Tabel135101112[[#This Row],[DatEindTv]],Datum_Einde_IKV,"")))</f>
        <v/>
      </c>
      <c r="K14" s="138"/>
      <c r="L14" s="138"/>
      <c r="M14" s="138"/>
      <c r="N14" s="139"/>
      <c r="O14" s="140"/>
      <c r="P14" s="140"/>
      <c r="Q14" s="140"/>
      <c r="R14" s="140"/>
      <c r="S14" s="140"/>
      <c r="T14" s="140"/>
      <c r="U14" s="140"/>
      <c r="V14" s="184" t="str">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Row],[OpnAvwb]],0))))</f>
        <v/>
      </c>
      <c r="W14" s="187" t="str">
        <f>IF(Tabel135101112[[#This Row],[Inkomsten-periode]]="","",IF(OR(Tabel135101112[[#This Row],[Leeftijd]]&lt;18,Tabel135101112[[#This Row],[Leeftijd]]&gt;=68),0,IF(Tabel135101112[[#This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Row],[AantVerlU]],0))))</f>
        <v/>
      </c>
      <c r="X14" s="184" t="str">
        <f>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Row],[LnInGld]]+Tabel135101112[[#This Row],[OpgRchtVakBsl]]-Tabel135101112[[#This Row],[VakBsl]]+Tabel135101112[[#This Row],[OpbAvwb]]-Tabel135101112[[#This Row],[OpnAvwb]],"")),"")</f>
        <v/>
      </c>
      <c r="Y14" s="187" t="str">
        <f>IF(Tabel135101112[[#This Row],[Inkomsten-periode]]="",IF(Tabel135101112[[#This Row],[CdRdnEindArbov]]=33,0,IF(AND(OR(Tabel135101112[[#This Row],[SrtIV]]=13,Tabel135101112[[#This Row],[SrtIV]]=15,Tabel135101112[[#This Row],[SrtIV]]=31),OR(Tabel135101112[[#This Row],[CdAard]]=1,Tabel135101112[[#This Row],[CdAard]]=11,Tabel135101112[[#This Row],[CdAard]]=82,Tabel135101112[[#This Row],[CdAard]]=83)),Tabel135101112[[#This Row],[AantVerlU]],"")),"")</f>
        <v/>
      </c>
    </row>
    <row r="15" spans="1:38" ht="13" thickBot="1" x14ac:dyDescent="0.3">
      <c r="A15" s="127" t="s">
        <v>195</v>
      </c>
      <c r="B15" s="128"/>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4.5" x14ac:dyDescent="0.35">
      <c r="A16" s="127"/>
      <c r="B16" s="128"/>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127" t="s">
        <v>194</v>
      </c>
      <c r="B17" s="128"/>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125" t="s">
        <v>67</v>
      </c>
      <c r="B18" s="126"/>
      <c r="C18" s="200"/>
      <c r="D18" s="163">
        <f>D2</f>
        <v>1</v>
      </c>
      <c r="E18" s="150" t="str">
        <f>E2</f>
        <v>januari</v>
      </c>
      <c r="F18" s="151">
        <f>F2</f>
        <v>46388</v>
      </c>
      <c r="G18" s="151">
        <f>G2</f>
        <v>46418</v>
      </c>
      <c r="H18" s="188">
        <f t="shared" ref="H18:H30" si="1">IF(AND(W2="",Y2=""),"",MAX(W2,Y2))</f>
        <v>0</v>
      </c>
      <c r="I18" s="191">
        <f t="shared" ref="I18:I30" si="2">IF(AND(V2="",X2=""),"",MAX(V2,X2))</f>
        <v>0</v>
      </c>
      <c r="J18" s="188">
        <f>IF($E18="","",IF($E19="",SUM(H18:H$30),H18))</f>
        <v>0</v>
      </c>
      <c r="K18" s="191">
        <f>IF($E18="","",IF($E19="",SUM(I18:I$30),I18))</f>
        <v>0</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0</v>
      </c>
      <c r="T18" s="157">
        <f t="shared" ref="T18:T30" si="10">IF(M18="","",J18+IF(AND(D18&lt;&gt;1, T17&lt;&gt;""),T17,0))</f>
        <v>0</v>
      </c>
      <c r="U18" s="157">
        <f t="shared" ref="U18:U30" si="11">IF(M18="","",R18+IF(AND(D18&lt;&gt;1, U17&lt;&gt;""),U17,0))</f>
        <v>173.33333333333334</v>
      </c>
      <c r="V18" s="158">
        <f>IF(M18="",0,T18/U18)</f>
        <v>0</v>
      </c>
      <c r="W18" s="159">
        <f>IF(M18="","",VLOOKUP($B$6,rekenwaarden!M$8:N$12,2))</f>
        <v>8.31</v>
      </c>
      <c r="X18" s="160">
        <f t="shared" ref="X18:X30" si="12">IF(M18="","",W18*J18)</f>
        <v>0</v>
      </c>
      <c r="Y18" s="160">
        <f t="shared" ref="Y18:Y30" si="13">IF(M18="","",X18+IF(AND(D18&lt;&gt;1, Y17&lt;&gt;""),Y17,0))</f>
        <v>0</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0</v>
      </c>
      <c r="AE18" s="160">
        <f t="shared" ref="AE18:AE30" si="17">IF(M18="","",AD18-IF(AND(D18&lt;&gt;1, AD17&lt;&gt;""),AD17,0))</f>
        <v>0</v>
      </c>
      <c r="AF18" s="160">
        <f>IF(OR($B$8="ONWAAR", M18=""), "", MAX(MIN(S18, AC18*MIN(1, V18))-AA18*MIN(1, V18), 0))</f>
        <v>0</v>
      </c>
      <c r="AG18" s="160">
        <f t="shared" ref="AG18:AG30" si="18">IF(OR(M18="", AF18=""),"",AF18-IF(AND(D18&lt;&gt;1, AF17&lt;&gt;""),AF17,0))</f>
        <v>0</v>
      </c>
      <c r="AH18" s="161">
        <f t="shared" ref="AH18:AH30" ca="1" si="19">IF($M18="", "", AE18*INDIRECT(CONCATENATE("premiepct", YEAR(F18))))</f>
        <v>0</v>
      </c>
      <c r="AI18" s="161">
        <f ca="1">IF(OR($F$4=FALSE, M18=""), "", AG18*INDIRECT(CONCATENATE("premiepct", YEAR($F18))))</f>
        <v>0</v>
      </c>
      <c r="AJ18" s="161"/>
      <c r="AK18" s="161"/>
      <c r="AL18" s="164">
        <f ca="1">IF(M18="","",SUM(AH18:AK18))</f>
        <v>0</v>
      </c>
    </row>
    <row r="19" spans="1:38" s="113" customFormat="1" ht="15.65" customHeight="1" x14ac:dyDescent="0.25">
      <c r="A19" s="127"/>
      <c r="B19" s="126"/>
      <c r="C19" s="200"/>
      <c r="D19" s="163">
        <f t="shared" ref="D19:G30" si="20">D3</f>
        <v>2</v>
      </c>
      <c r="E19" s="150" t="str">
        <f t="shared" si="20"/>
        <v>februari</v>
      </c>
      <c r="F19" s="151">
        <f t="shared" si="20"/>
        <v>46419</v>
      </c>
      <c r="G19" s="151">
        <f t="shared" si="20"/>
        <v>46446</v>
      </c>
      <c r="H19" s="189">
        <f t="shared" si="1"/>
        <v>10</v>
      </c>
      <c r="I19" s="192">
        <f t="shared" si="2"/>
        <v>216</v>
      </c>
      <c r="J19" s="189">
        <f>IF($E19="","",IF($E20="",SUM(H19:H$30),H19))</f>
        <v>10</v>
      </c>
      <c r="K19" s="192">
        <f>IF($E19="","",IF($E20="",SUM(I19:I$30),I19))</f>
        <v>216</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216</v>
      </c>
      <c r="T19" s="157">
        <f t="shared" si="10"/>
        <v>10</v>
      </c>
      <c r="U19" s="157">
        <f t="shared" si="11"/>
        <v>346.66666666666669</v>
      </c>
      <c r="V19" s="158">
        <f t="shared" ref="V19:V30" si="22">IF(M19="","",T19/U19)</f>
        <v>2.8846153846153844E-2</v>
      </c>
      <c r="W19" s="159">
        <f>IF(M19="","",VLOOKUP($B$6,rekenwaarden!M$8:N$12,2))</f>
        <v>8.31</v>
      </c>
      <c r="X19" s="160">
        <f t="shared" si="12"/>
        <v>83.100000000000009</v>
      </c>
      <c r="Y19" s="160">
        <f t="shared" si="13"/>
        <v>83.100000000000009</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132.89999999999998</v>
      </c>
      <c r="AE19" s="160">
        <f t="shared" si="17"/>
        <v>132.89999999999998</v>
      </c>
      <c r="AF19" s="160">
        <f t="shared" ref="AF19:AF30" si="23">IF(OR($B$8="ONWAAR", M19=""), "", MAX(MIN(S19, AC19*MIN(1, V19))-AA19*MIN(1, V19), 0))</f>
        <v>0</v>
      </c>
      <c r="AG19" s="160">
        <f t="shared" si="18"/>
        <v>0</v>
      </c>
      <c r="AH19" s="161">
        <f t="shared" ca="1" si="19"/>
        <v>39.471299999999992</v>
      </c>
      <c r="AI19" s="161">
        <f t="shared" ref="AI19:AI30" ca="1" si="24">IF(OR($F$4=FALSE, M19=""), "", AG19*INDIRECT(CONCATENATE("premiepct", YEAR($F19))))</f>
        <v>0</v>
      </c>
      <c r="AJ19" s="161"/>
      <c r="AK19" s="161"/>
      <c r="AL19" s="164">
        <f t="shared" ref="AL19:AL30" ca="1" si="25">IF(M19="","",SUM(AH19:AK19))</f>
        <v>39.471299999999992</v>
      </c>
    </row>
    <row r="20" spans="1:38" s="113" customFormat="1" ht="15.65" customHeight="1" x14ac:dyDescent="0.25">
      <c r="A20" s="125"/>
      <c r="B20" s="126"/>
      <c r="C20" s="200"/>
      <c r="D20" s="163">
        <f t="shared" si="20"/>
        <v>3</v>
      </c>
      <c r="E20" s="150" t="str">
        <f t="shared" si="20"/>
        <v>maart</v>
      </c>
      <c r="F20" s="151">
        <f t="shared" si="20"/>
        <v>46447</v>
      </c>
      <c r="G20" s="151">
        <f t="shared" si="20"/>
        <v>46477</v>
      </c>
      <c r="H20" s="188">
        <f t="shared" si="1"/>
        <v>173</v>
      </c>
      <c r="I20" s="191">
        <f t="shared" si="2"/>
        <v>3736.8</v>
      </c>
      <c r="J20" s="188">
        <f>IF($E20="","",IF($E21="",SUM(H20:H$30),H20))</f>
        <v>173</v>
      </c>
      <c r="K20" s="191">
        <f>IF($E20="","",IF($E21="",SUM(I20:I$30),I20))</f>
        <v>3736.8</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3952.8</v>
      </c>
      <c r="T20" s="157">
        <f t="shared" si="10"/>
        <v>183</v>
      </c>
      <c r="U20" s="157">
        <f t="shared" si="11"/>
        <v>520</v>
      </c>
      <c r="V20" s="158">
        <f t="shared" si="22"/>
        <v>0.35192307692307695</v>
      </c>
      <c r="W20" s="159">
        <f>IF(M20="","",VLOOKUP($B$6,rekenwaarden!M$8:N$12,2))</f>
        <v>8.31</v>
      </c>
      <c r="X20" s="160">
        <f t="shared" si="12"/>
        <v>1437.63</v>
      </c>
      <c r="Y20" s="160">
        <f t="shared" si="13"/>
        <v>1520.73</v>
      </c>
      <c r="Z20" s="160">
        <f>IF(M20="","", VLOOKUP(B$6,rekenwaarden!M$8:T$12,3)*Q20)</f>
        <v>6617.4166666666661</v>
      </c>
      <c r="AA20" s="160">
        <f t="shared" si="14"/>
        <v>19852.25</v>
      </c>
      <c r="AB20" s="160">
        <f>IF(M20="","", VLOOKUP($B$6,rekenwaarden!M$8:T$12,4)*Q20)</f>
        <v>11483.333333333332</v>
      </c>
      <c r="AC20" s="160">
        <f t="shared" si="15"/>
        <v>34450</v>
      </c>
      <c r="AD20" s="160">
        <f t="shared" si="16"/>
        <v>2432.0700000000002</v>
      </c>
      <c r="AE20" s="160">
        <f t="shared" si="17"/>
        <v>2299.17</v>
      </c>
      <c r="AF20" s="160">
        <f t="shared" si="23"/>
        <v>0</v>
      </c>
      <c r="AG20" s="160">
        <f t="shared" si="18"/>
        <v>0</v>
      </c>
      <c r="AH20" s="161">
        <f t="shared" ca="1" si="19"/>
        <v>682.85348999999997</v>
      </c>
      <c r="AI20" s="161">
        <f t="shared" ca="1" si="24"/>
        <v>0</v>
      </c>
      <c r="AJ20" s="161"/>
      <c r="AK20" s="161"/>
      <c r="AL20" s="164">
        <f t="shared" ca="1" si="25"/>
        <v>682.85348999999997</v>
      </c>
    </row>
    <row r="21" spans="1:38" s="113" customFormat="1" ht="15.65" customHeight="1" x14ac:dyDescent="0.25">
      <c r="A21" s="125"/>
      <c r="B21" s="126"/>
      <c r="C21" s="200"/>
      <c r="D21" s="163">
        <f t="shared" si="20"/>
        <v>4</v>
      </c>
      <c r="E21" s="150" t="str">
        <f t="shared" si="20"/>
        <v>april</v>
      </c>
      <c r="F21" s="151">
        <f t="shared" si="20"/>
        <v>46478</v>
      </c>
      <c r="G21" s="151">
        <f t="shared" si="20"/>
        <v>46507</v>
      </c>
      <c r="H21" s="189">
        <f t="shared" si="1"/>
        <v>193</v>
      </c>
      <c r="I21" s="192">
        <f t="shared" si="2"/>
        <v>4168.8</v>
      </c>
      <c r="J21" s="189">
        <f>IF($E21="","",IF($E22="",SUM(H21:H$30),H21))</f>
        <v>193</v>
      </c>
      <c r="K21" s="192">
        <f>IF($E21="","",IF($E22="",SUM(I21:I$30),I21))</f>
        <v>4168.8</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8121.6</v>
      </c>
      <c r="T21" s="157">
        <f t="shared" si="10"/>
        <v>376</v>
      </c>
      <c r="U21" s="157">
        <f t="shared" si="11"/>
        <v>693.33333333333337</v>
      </c>
      <c r="V21" s="158">
        <f t="shared" si="22"/>
        <v>0.54230769230769227</v>
      </c>
      <c r="W21" s="159">
        <f>IF(M21="","",VLOOKUP($B$6,rekenwaarden!M$8:N$12,2))</f>
        <v>8.31</v>
      </c>
      <c r="X21" s="160">
        <f t="shared" si="12"/>
        <v>1603.8300000000002</v>
      </c>
      <c r="Y21" s="160">
        <f t="shared" si="13"/>
        <v>3124.5600000000004</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4997.04</v>
      </c>
      <c r="AE21" s="160">
        <f t="shared" si="17"/>
        <v>2564.9699999999998</v>
      </c>
      <c r="AF21" s="160">
        <f t="shared" si="23"/>
        <v>0</v>
      </c>
      <c r="AG21" s="160">
        <f t="shared" si="18"/>
        <v>0</v>
      </c>
      <c r="AH21" s="161">
        <f t="shared" ca="1" si="19"/>
        <v>761.79608999999994</v>
      </c>
      <c r="AI21" s="161">
        <f t="shared" ca="1" si="24"/>
        <v>0</v>
      </c>
      <c r="AJ21" s="161"/>
      <c r="AK21" s="161"/>
      <c r="AL21" s="164">
        <f t="shared" ca="1" si="25"/>
        <v>761.79608999999994</v>
      </c>
    </row>
    <row r="22" spans="1:38" s="113" customFormat="1" ht="15.65" customHeight="1" x14ac:dyDescent="0.25">
      <c r="A22" s="125"/>
      <c r="B22" s="126"/>
      <c r="C22" s="200"/>
      <c r="D22" s="163">
        <f t="shared" si="20"/>
        <v>5</v>
      </c>
      <c r="E22" s="150" t="str">
        <f t="shared" si="20"/>
        <v>mei</v>
      </c>
      <c r="F22" s="151">
        <f t="shared" si="20"/>
        <v>46508</v>
      </c>
      <c r="G22" s="151">
        <f t="shared" si="20"/>
        <v>46538</v>
      </c>
      <c r="H22" s="188">
        <f t="shared" si="1"/>
        <v>-20</v>
      </c>
      <c r="I22" s="191">
        <f t="shared" si="2"/>
        <v>-432</v>
      </c>
      <c r="J22" s="188">
        <f>IF($E22="","",IF($E23="",SUM(H22:H$30),H22))</f>
        <v>-20</v>
      </c>
      <c r="K22" s="191">
        <f>IF($E22="","",IF($E23="",SUM(I22:I$30),I22))</f>
        <v>-432</v>
      </c>
      <c r="L22" s="152">
        <f t="shared" si="3"/>
        <v>40</v>
      </c>
      <c r="M22" s="151">
        <f t="shared" si="4"/>
        <v>46508</v>
      </c>
      <c r="N22" s="151">
        <f t="shared" si="5"/>
        <v>46538</v>
      </c>
      <c r="O22" s="150">
        <f t="shared" si="21"/>
        <v>31</v>
      </c>
      <c r="P22" s="153">
        <f t="shared" si="6"/>
        <v>1</v>
      </c>
      <c r="Q22" s="154">
        <f t="shared" si="7"/>
        <v>8.3333333333333329E-2</v>
      </c>
      <c r="R22" s="155">
        <f t="shared" si="8"/>
        <v>173.33333333333334</v>
      </c>
      <c r="S22" s="156">
        <f t="shared" si="9"/>
        <v>7689.6</v>
      </c>
      <c r="T22" s="157">
        <f t="shared" si="10"/>
        <v>356</v>
      </c>
      <c r="U22" s="157">
        <f t="shared" si="11"/>
        <v>866.66666666666674</v>
      </c>
      <c r="V22" s="158">
        <f t="shared" si="22"/>
        <v>0.41076923076923072</v>
      </c>
      <c r="W22" s="159">
        <f>IF(M22="","",VLOOKUP($B$6,rekenwaarden!M$8:N$12,2))</f>
        <v>8.31</v>
      </c>
      <c r="X22" s="160">
        <f t="shared" si="12"/>
        <v>-166.20000000000002</v>
      </c>
      <c r="Y22" s="160">
        <f t="shared" si="13"/>
        <v>2958.3600000000006</v>
      </c>
      <c r="Z22" s="160">
        <f>IF(M22="","", VLOOKUP(B$6,rekenwaarden!M$8:T$12,3)*Q22)</f>
        <v>6617.4166666666661</v>
      </c>
      <c r="AA22" s="160">
        <f t="shared" si="14"/>
        <v>33087.083333333328</v>
      </c>
      <c r="AB22" s="160">
        <f>IF(M22="","", VLOOKUP($B$6,rekenwaarden!M$8:T$12,4)*Q22)</f>
        <v>11483.333333333332</v>
      </c>
      <c r="AC22" s="160">
        <f t="shared" si="15"/>
        <v>57416.666666666657</v>
      </c>
      <c r="AD22" s="160">
        <f t="shared" si="16"/>
        <v>4731.24</v>
      </c>
      <c r="AE22" s="160">
        <f t="shared" si="17"/>
        <v>-265.80000000000018</v>
      </c>
      <c r="AF22" s="160">
        <f t="shared" si="23"/>
        <v>0</v>
      </c>
      <c r="AG22" s="160">
        <f t="shared" si="18"/>
        <v>0</v>
      </c>
      <c r="AH22" s="161">
        <f t="shared" ca="1" si="19"/>
        <v>-78.942600000000056</v>
      </c>
      <c r="AI22" s="161">
        <f t="shared" ca="1" si="24"/>
        <v>0</v>
      </c>
      <c r="AJ22" s="161"/>
      <c r="AK22" s="161"/>
      <c r="AL22" s="164">
        <f t="shared" ca="1" si="25"/>
        <v>-78.942600000000056</v>
      </c>
    </row>
    <row r="23" spans="1:38" s="113" customFormat="1" ht="15.65" customHeight="1" x14ac:dyDescent="0.25">
      <c r="A23" s="125"/>
      <c r="B23" s="126"/>
      <c r="C23" s="200"/>
      <c r="D23" s="163">
        <f t="shared" si="20"/>
        <v>6</v>
      </c>
      <c r="E23" s="150" t="str">
        <f t="shared" si="20"/>
        <v>juni</v>
      </c>
      <c r="F23" s="151">
        <f t="shared" si="20"/>
        <v>46539</v>
      </c>
      <c r="G23" s="151">
        <f t="shared" si="20"/>
        <v>46568</v>
      </c>
      <c r="H23" s="189">
        <f t="shared" si="1"/>
        <v>80</v>
      </c>
      <c r="I23" s="192">
        <f t="shared" si="2"/>
        <v>1728</v>
      </c>
      <c r="J23" s="189">
        <f>IF($E23="","",IF($E24="",SUM(H23:H$30),H23))</f>
        <v>80</v>
      </c>
      <c r="K23" s="192">
        <f>IF($E23="","",IF($E24="",SUM(I23:I$30),I23))</f>
        <v>1728</v>
      </c>
      <c r="L23" s="152">
        <f t="shared" si="3"/>
        <v>40</v>
      </c>
      <c r="M23" s="151">
        <f t="shared" si="4"/>
        <v>46539</v>
      </c>
      <c r="N23" s="151">
        <f t="shared" si="5"/>
        <v>46568</v>
      </c>
      <c r="O23" s="150">
        <f t="shared" si="21"/>
        <v>30</v>
      </c>
      <c r="P23" s="153">
        <f t="shared" si="6"/>
        <v>1</v>
      </c>
      <c r="Q23" s="154">
        <f t="shared" si="7"/>
        <v>8.3333333333333329E-2</v>
      </c>
      <c r="R23" s="155">
        <f t="shared" si="8"/>
        <v>173.33333333333334</v>
      </c>
      <c r="S23" s="156">
        <f t="shared" si="9"/>
        <v>9417.6</v>
      </c>
      <c r="T23" s="157">
        <f t="shared" si="10"/>
        <v>436</v>
      </c>
      <c r="U23" s="157">
        <f t="shared" si="11"/>
        <v>1040</v>
      </c>
      <c r="V23" s="158">
        <f t="shared" si="22"/>
        <v>0.41923076923076924</v>
      </c>
      <c r="W23" s="159">
        <f>IF(M23="","",VLOOKUP($B$6,rekenwaarden!M$8:N$12,2))</f>
        <v>8.31</v>
      </c>
      <c r="X23" s="160">
        <f t="shared" si="12"/>
        <v>664.80000000000007</v>
      </c>
      <c r="Y23" s="160">
        <f t="shared" si="13"/>
        <v>3623.1600000000008</v>
      </c>
      <c r="Z23" s="160">
        <f>IF(M23="","", VLOOKUP(B$6,rekenwaarden!M$8:T$12,3)*Q23)</f>
        <v>6617.4166666666661</v>
      </c>
      <c r="AA23" s="160">
        <f t="shared" si="14"/>
        <v>39704.499999999993</v>
      </c>
      <c r="AB23" s="160">
        <f>IF(M23="","", VLOOKUP($B$6,rekenwaarden!M$8:T$12,4)*Q23)</f>
        <v>11483.333333333332</v>
      </c>
      <c r="AC23" s="160">
        <f t="shared" si="15"/>
        <v>68899.999999999985</v>
      </c>
      <c r="AD23" s="160">
        <f t="shared" si="16"/>
        <v>5794.44</v>
      </c>
      <c r="AE23" s="160">
        <f t="shared" si="17"/>
        <v>1063.1999999999998</v>
      </c>
      <c r="AF23" s="160">
        <f t="shared" si="23"/>
        <v>0</v>
      </c>
      <c r="AG23" s="160">
        <f t="shared" si="18"/>
        <v>0</v>
      </c>
      <c r="AH23" s="161">
        <f t="shared" ca="1" si="19"/>
        <v>315.77039999999994</v>
      </c>
      <c r="AI23" s="161">
        <f t="shared" ca="1" si="24"/>
        <v>0</v>
      </c>
      <c r="AJ23" s="161"/>
      <c r="AK23" s="161"/>
      <c r="AL23" s="164">
        <f t="shared" ca="1" si="25"/>
        <v>315.77039999999994</v>
      </c>
    </row>
    <row r="24" spans="1:38" s="113" customFormat="1" ht="15.65" customHeight="1" x14ac:dyDescent="0.25">
      <c r="A24" s="125"/>
      <c r="B24" s="126"/>
      <c r="C24" s="200"/>
      <c r="D24" s="163">
        <f t="shared" si="20"/>
        <v>7</v>
      </c>
      <c r="E24" s="150" t="str">
        <f t="shared" si="20"/>
        <v>juli</v>
      </c>
      <c r="F24" s="151">
        <f t="shared" si="20"/>
        <v>46569</v>
      </c>
      <c r="G24" s="151">
        <f t="shared" si="20"/>
        <v>46599</v>
      </c>
      <c r="H24" s="188">
        <f t="shared" si="1"/>
        <v>80</v>
      </c>
      <c r="I24" s="191">
        <f t="shared" si="2"/>
        <v>1728</v>
      </c>
      <c r="J24" s="188">
        <f>IF($E24="","",IF($E25="",SUM(H24:H$30),H24))</f>
        <v>80</v>
      </c>
      <c r="K24" s="191">
        <f>IF($E24="","",IF($E25="",SUM(I24:I$30),I24))</f>
        <v>1728</v>
      </c>
      <c r="L24" s="152">
        <f t="shared" si="3"/>
        <v>40</v>
      </c>
      <c r="M24" s="151">
        <f t="shared" si="4"/>
        <v>46569</v>
      </c>
      <c r="N24" s="151">
        <f t="shared" si="5"/>
        <v>46599</v>
      </c>
      <c r="O24" s="150">
        <f t="shared" si="21"/>
        <v>31</v>
      </c>
      <c r="P24" s="153">
        <f t="shared" si="6"/>
        <v>1</v>
      </c>
      <c r="Q24" s="154">
        <f t="shared" si="7"/>
        <v>8.3333333333333329E-2</v>
      </c>
      <c r="R24" s="155">
        <f t="shared" si="8"/>
        <v>173.33333333333334</v>
      </c>
      <c r="S24" s="156">
        <f t="shared" si="9"/>
        <v>11145.6</v>
      </c>
      <c r="T24" s="157">
        <f t="shared" si="10"/>
        <v>516</v>
      </c>
      <c r="U24" s="157">
        <f t="shared" si="11"/>
        <v>1213.3333333333333</v>
      </c>
      <c r="V24" s="158">
        <f t="shared" si="22"/>
        <v>0.42527472527472532</v>
      </c>
      <c r="W24" s="159">
        <f>IF(M24="","",VLOOKUP($B$6,rekenwaarden!M$8:N$12,2))</f>
        <v>8.31</v>
      </c>
      <c r="X24" s="160">
        <f t="shared" si="12"/>
        <v>664.80000000000007</v>
      </c>
      <c r="Y24" s="160">
        <f t="shared" si="13"/>
        <v>4287.9600000000009</v>
      </c>
      <c r="Z24" s="160">
        <f>IF(M24="","", VLOOKUP(B$6,rekenwaarden!M$8:T$12,3)*Q24)</f>
        <v>6617.4166666666661</v>
      </c>
      <c r="AA24" s="160">
        <f t="shared" si="14"/>
        <v>46321.916666666657</v>
      </c>
      <c r="AB24" s="160">
        <f>IF(M24="","", VLOOKUP($B$6,rekenwaarden!M$8:T$12,4)*Q24)</f>
        <v>11483.333333333332</v>
      </c>
      <c r="AC24" s="160">
        <f t="shared" si="15"/>
        <v>80383.333333333314</v>
      </c>
      <c r="AD24" s="160">
        <f t="shared" si="16"/>
        <v>6857.6399999999994</v>
      </c>
      <c r="AE24" s="160">
        <f t="shared" si="17"/>
        <v>1063.1999999999998</v>
      </c>
      <c r="AF24" s="160">
        <f t="shared" si="23"/>
        <v>0</v>
      </c>
      <c r="AG24" s="160">
        <f t="shared" si="18"/>
        <v>0</v>
      </c>
      <c r="AH24" s="161">
        <f t="shared" ca="1" si="19"/>
        <v>315.77039999999994</v>
      </c>
      <c r="AI24" s="161">
        <f t="shared" ca="1" si="24"/>
        <v>0</v>
      </c>
      <c r="AJ24" s="161"/>
      <c r="AK24" s="161"/>
      <c r="AL24" s="164">
        <f t="shared" ca="1" si="25"/>
        <v>315.77039999999994</v>
      </c>
    </row>
    <row r="25" spans="1:38" s="113" customFormat="1" ht="15.65" customHeight="1" x14ac:dyDescent="0.25">
      <c r="A25" s="125"/>
      <c r="B25" s="126"/>
      <c r="C25" s="200"/>
      <c r="D25" s="163">
        <f t="shared" si="20"/>
        <v>8</v>
      </c>
      <c r="E25" s="150" t="str">
        <f t="shared" si="20"/>
        <v>augustus</v>
      </c>
      <c r="F25" s="151">
        <f t="shared" si="20"/>
        <v>46600</v>
      </c>
      <c r="G25" s="151">
        <f t="shared" si="20"/>
        <v>46630</v>
      </c>
      <c r="H25" s="189">
        <f t="shared" si="1"/>
        <v>0</v>
      </c>
      <c r="I25" s="192">
        <f t="shared" si="2"/>
        <v>0</v>
      </c>
      <c r="J25" s="189">
        <f>IF($E25="","",IF($E26="",SUM(H25:H$30),H25))</f>
        <v>0</v>
      </c>
      <c r="K25" s="192">
        <f>IF($E25="","",IF($E26="",SUM(I25:I$30),I25))</f>
        <v>0</v>
      </c>
      <c r="L25" s="152">
        <f t="shared" si="3"/>
        <v>40</v>
      </c>
      <c r="M25" s="151">
        <f t="shared" si="4"/>
        <v>46600</v>
      </c>
      <c r="N25" s="151">
        <f t="shared" si="5"/>
        <v>46630</v>
      </c>
      <c r="O25" s="150">
        <f t="shared" si="21"/>
        <v>31</v>
      </c>
      <c r="P25" s="153">
        <f t="shared" si="6"/>
        <v>1</v>
      </c>
      <c r="Q25" s="154">
        <f t="shared" si="7"/>
        <v>8.3333333333333329E-2</v>
      </c>
      <c r="R25" s="155">
        <f t="shared" si="8"/>
        <v>173.33333333333334</v>
      </c>
      <c r="S25" s="156">
        <f t="shared" si="9"/>
        <v>11145.6</v>
      </c>
      <c r="T25" s="157">
        <f t="shared" si="10"/>
        <v>516</v>
      </c>
      <c r="U25" s="157">
        <f t="shared" si="11"/>
        <v>1386.6666666666665</v>
      </c>
      <c r="V25" s="158">
        <f t="shared" si="22"/>
        <v>0.37211538461538468</v>
      </c>
      <c r="W25" s="159">
        <f>IF(M25="","",VLOOKUP($B$6,rekenwaarden!M$8:N$12,2))</f>
        <v>8.31</v>
      </c>
      <c r="X25" s="160">
        <f t="shared" si="12"/>
        <v>0</v>
      </c>
      <c r="Y25" s="160">
        <f t="shared" si="13"/>
        <v>4287.9600000000009</v>
      </c>
      <c r="Z25" s="160">
        <f>IF(M25="","", VLOOKUP(B$6,rekenwaarden!M$8:T$12,3)*Q25)</f>
        <v>6617.4166666666661</v>
      </c>
      <c r="AA25" s="160">
        <f t="shared" si="14"/>
        <v>52939.333333333321</v>
      </c>
      <c r="AB25" s="160">
        <f>IF(M25="","", VLOOKUP($B$6,rekenwaarden!M$8:T$12,4)*Q25)</f>
        <v>11483.333333333332</v>
      </c>
      <c r="AC25" s="160">
        <f t="shared" si="15"/>
        <v>91866.666666666642</v>
      </c>
      <c r="AD25" s="160">
        <f t="shared" si="16"/>
        <v>6857.6399999999994</v>
      </c>
      <c r="AE25" s="160">
        <f t="shared" si="17"/>
        <v>0</v>
      </c>
      <c r="AF25" s="160">
        <f t="shared" si="23"/>
        <v>0</v>
      </c>
      <c r="AG25" s="160">
        <f t="shared" si="18"/>
        <v>0</v>
      </c>
      <c r="AH25" s="161">
        <f t="shared" ca="1" si="19"/>
        <v>0</v>
      </c>
      <c r="AI25" s="161">
        <f t="shared" ca="1" si="24"/>
        <v>0</v>
      </c>
      <c r="AJ25" s="161"/>
      <c r="AK25" s="161"/>
      <c r="AL25" s="164">
        <f t="shared" ca="1" si="25"/>
        <v>0</v>
      </c>
    </row>
    <row r="26" spans="1:38" s="113" customFormat="1" ht="15.65" customHeight="1" x14ac:dyDescent="0.25">
      <c r="A26" s="125"/>
      <c r="B26" s="126"/>
      <c r="C26" s="200"/>
      <c r="D26" s="163">
        <f t="shared" si="20"/>
        <v>9</v>
      </c>
      <c r="E26" s="150" t="str">
        <f t="shared" si="20"/>
        <v>september</v>
      </c>
      <c r="F26" s="151">
        <f t="shared" si="20"/>
        <v>46631</v>
      </c>
      <c r="G26" s="151">
        <f t="shared" si="20"/>
        <v>46660</v>
      </c>
      <c r="H26" s="188">
        <f t="shared" si="1"/>
        <v>180</v>
      </c>
      <c r="I26" s="191">
        <f t="shared" si="2"/>
        <v>3888</v>
      </c>
      <c r="J26" s="188">
        <f>IF($E26="","",IF($E27="",SUM(H26:H$30),H26))</f>
        <v>180</v>
      </c>
      <c r="K26" s="191">
        <f>IF($E26="","",IF($E27="",SUM(I26:I$30),I26))</f>
        <v>3888</v>
      </c>
      <c r="L26" s="152">
        <f t="shared" si="3"/>
        <v>40</v>
      </c>
      <c r="M26" s="151">
        <f t="shared" si="4"/>
        <v>46631</v>
      </c>
      <c r="N26" s="151">
        <f t="shared" si="5"/>
        <v>46660</v>
      </c>
      <c r="O26" s="150">
        <f t="shared" si="21"/>
        <v>30</v>
      </c>
      <c r="P26" s="153">
        <f t="shared" si="6"/>
        <v>1</v>
      </c>
      <c r="Q26" s="154">
        <f t="shared" si="7"/>
        <v>8.3333333333333329E-2</v>
      </c>
      <c r="R26" s="155">
        <f t="shared" si="8"/>
        <v>173.33333333333334</v>
      </c>
      <c r="S26" s="156">
        <f t="shared" si="9"/>
        <v>15033.6</v>
      </c>
      <c r="T26" s="157">
        <f t="shared" si="10"/>
        <v>696</v>
      </c>
      <c r="U26" s="157">
        <f t="shared" si="11"/>
        <v>1559.9999999999998</v>
      </c>
      <c r="V26" s="158">
        <f t="shared" si="22"/>
        <v>0.44615384615384623</v>
      </c>
      <c r="W26" s="159">
        <f>IF(M26="","",VLOOKUP($B$6,rekenwaarden!M$8:N$12,2))</f>
        <v>8.31</v>
      </c>
      <c r="X26" s="160">
        <f t="shared" si="12"/>
        <v>1495.8000000000002</v>
      </c>
      <c r="Y26" s="160">
        <f t="shared" si="13"/>
        <v>5783.7600000000011</v>
      </c>
      <c r="Z26" s="160">
        <f>IF(M26="","", VLOOKUP(B$6,rekenwaarden!M$8:T$12,3)*Q26)</f>
        <v>6617.4166666666661</v>
      </c>
      <c r="AA26" s="160">
        <f t="shared" si="14"/>
        <v>59556.749999999985</v>
      </c>
      <c r="AB26" s="160">
        <f>IF(M26="","", VLOOKUP($B$6,rekenwaarden!M$8:T$12,4)*Q26)</f>
        <v>11483.333333333332</v>
      </c>
      <c r="AC26" s="160">
        <f t="shared" si="15"/>
        <v>103349.99999999997</v>
      </c>
      <c r="AD26" s="160">
        <f t="shared" si="16"/>
        <v>9249.84</v>
      </c>
      <c r="AE26" s="160">
        <f t="shared" si="17"/>
        <v>2392.2000000000007</v>
      </c>
      <c r="AF26" s="160">
        <f t="shared" si="23"/>
        <v>0</v>
      </c>
      <c r="AG26" s="160">
        <f t="shared" si="18"/>
        <v>0</v>
      </c>
      <c r="AH26" s="161">
        <f t="shared" ca="1" si="19"/>
        <v>710.48340000000019</v>
      </c>
      <c r="AI26" s="161">
        <f t="shared" ca="1" si="24"/>
        <v>0</v>
      </c>
      <c r="AJ26" s="161"/>
      <c r="AK26" s="161"/>
      <c r="AL26" s="164">
        <f t="shared" ca="1" si="25"/>
        <v>710.48340000000019</v>
      </c>
    </row>
    <row r="27" spans="1:38" s="113" customFormat="1" ht="15.65" customHeight="1" x14ac:dyDescent="0.25">
      <c r="A27" s="125"/>
      <c r="B27" s="126"/>
      <c r="C27" s="200"/>
      <c r="D27" s="163">
        <f t="shared" si="20"/>
        <v>10</v>
      </c>
      <c r="E27" s="150" t="str">
        <f t="shared" si="20"/>
        <v>oktober</v>
      </c>
      <c r="F27" s="151">
        <f t="shared" si="20"/>
        <v>46661</v>
      </c>
      <c r="G27" s="151">
        <f t="shared" si="20"/>
        <v>46691</v>
      </c>
      <c r="H27" s="189">
        <f t="shared" si="1"/>
        <v>136</v>
      </c>
      <c r="I27" s="192">
        <f t="shared" si="2"/>
        <v>2937.6</v>
      </c>
      <c r="J27" s="189">
        <f>IF($E27="","",IF($E28="",SUM(H27:H$30),H27))</f>
        <v>136</v>
      </c>
      <c r="K27" s="192">
        <f>IF($E27="","",IF($E28="",SUM(I27:I$30),I27))</f>
        <v>2937.6</v>
      </c>
      <c r="L27" s="152">
        <f t="shared" si="3"/>
        <v>40</v>
      </c>
      <c r="M27" s="151">
        <f t="shared" si="4"/>
        <v>46661</v>
      </c>
      <c r="N27" s="151">
        <f t="shared" si="5"/>
        <v>46691</v>
      </c>
      <c r="O27" s="150">
        <f t="shared" si="21"/>
        <v>31</v>
      </c>
      <c r="P27" s="153">
        <f t="shared" si="6"/>
        <v>1</v>
      </c>
      <c r="Q27" s="154">
        <f t="shared" si="7"/>
        <v>8.3333333333333329E-2</v>
      </c>
      <c r="R27" s="155">
        <f t="shared" si="8"/>
        <v>173.33333333333334</v>
      </c>
      <c r="S27" s="156">
        <f t="shared" si="9"/>
        <v>17971.2</v>
      </c>
      <c r="T27" s="157">
        <f t="shared" si="10"/>
        <v>832</v>
      </c>
      <c r="U27" s="157">
        <f t="shared" si="11"/>
        <v>1733.333333333333</v>
      </c>
      <c r="V27" s="158">
        <f t="shared" si="22"/>
        <v>0.48000000000000009</v>
      </c>
      <c r="W27" s="159">
        <f>IF(M27="","",VLOOKUP($B$6,rekenwaarden!M$8:N$12,2))</f>
        <v>8.31</v>
      </c>
      <c r="X27" s="160">
        <f t="shared" si="12"/>
        <v>1130.1600000000001</v>
      </c>
      <c r="Y27" s="160">
        <f t="shared" si="13"/>
        <v>6913.920000000001</v>
      </c>
      <c r="Z27" s="160">
        <f>IF(M27="","", VLOOKUP(B$6,rekenwaarden!M$8:T$12,3)*Q27)</f>
        <v>6617.4166666666661</v>
      </c>
      <c r="AA27" s="160">
        <f t="shared" si="14"/>
        <v>66174.166666666657</v>
      </c>
      <c r="AB27" s="160">
        <f>IF(M27="","", VLOOKUP($B$6,rekenwaarden!M$8:T$12,4)*Q27)</f>
        <v>11483.333333333332</v>
      </c>
      <c r="AC27" s="160">
        <f t="shared" si="15"/>
        <v>114833.3333333333</v>
      </c>
      <c r="AD27" s="160">
        <f t="shared" si="16"/>
        <v>11057.279999999999</v>
      </c>
      <c r="AE27" s="160">
        <f t="shared" si="17"/>
        <v>1807.4399999999987</v>
      </c>
      <c r="AF27" s="160">
        <f t="shared" si="23"/>
        <v>0</v>
      </c>
      <c r="AG27" s="160">
        <f t="shared" si="18"/>
        <v>0</v>
      </c>
      <c r="AH27" s="161">
        <f t="shared" ca="1" si="19"/>
        <v>536.80967999999962</v>
      </c>
      <c r="AI27" s="161">
        <f t="shared" ca="1" si="24"/>
        <v>0</v>
      </c>
      <c r="AJ27" s="161"/>
      <c r="AK27" s="161"/>
      <c r="AL27" s="164">
        <f t="shared" ca="1" si="25"/>
        <v>536.80967999999962</v>
      </c>
    </row>
    <row r="28" spans="1:38" s="113" customFormat="1" ht="15.65" customHeight="1" x14ac:dyDescent="0.25">
      <c r="A28" s="125"/>
      <c r="B28" s="126"/>
      <c r="C28" s="200"/>
      <c r="D28" s="163">
        <f t="shared" si="20"/>
        <v>11</v>
      </c>
      <c r="E28" s="150" t="str">
        <f t="shared" si="20"/>
        <v>november</v>
      </c>
      <c r="F28" s="151">
        <f t="shared" si="20"/>
        <v>46692</v>
      </c>
      <c r="G28" s="151">
        <f t="shared" si="20"/>
        <v>46721</v>
      </c>
      <c r="H28" s="188">
        <f t="shared" si="1"/>
        <v>0</v>
      </c>
      <c r="I28" s="191">
        <f t="shared" si="2"/>
        <v>0</v>
      </c>
      <c r="J28" s="188">
        <f>IF($E28="","",IF($E29="",SUM(H28:H$30),H28))</f>
        <v>0</v>
      </c>
      <c r="K28" s="191">
        <f>IF($E28="","",IF($E29="",SUM(I28:I$30),I28))</f>
        <v>0</v>
      </c>
      <c r="L28" s="152">
        <f t="shared" si="3"/>
        <v>40</v>
      </c>
      <c r="M28" s="151">
        <f t="shared" si="4"/>
        <v>46692</v>
      </c>
      <c r="N28" s="151">
        <f t="shared" si="5"/>
        <v>46721</v>
      </c>
      <c r="O28" s="150">
        <f t="shared" si="21"/>
        <v>30</v>
      </c>
      <c r="P28" s="153">
        <f t="shared" si="6"/>
        <v>1</v>
      </c>
      <c r="Q28" s="154">
        <f t="shared" si="7"/>
        <v>8.3333333333333329E-2</v>
      </c>
      <c r="R28" s="155">
        <f t="shared" si="8"/>
        <v>173.33333333333334</v>
      </c>
      <c r="S28" s="156">
        <f t="shared" si="9"/>
        <v>17971.2</v>
      </c>
      <c r="T28" s="157">
        <f t="shared" si="10"/>
        <v>832</v>
      </c>
      <c r="U28" s="157">
        <f t="shared" si="11"/>
        <v>1906.6666666666663</v>
      </c>
      <c r="V28" s="158">
        <f t="shared" si="22"/>
        <v>0.43636363636363645</v>
      </c>
      <c r="W28" s="159">
        <f>IF(M28="","",VLOOKUP($B$6,rekenwaarden!M$8:N$12,2))</f>
        <v>8.31</v>
      </c>
      <c r="X28" s="160">
        <f t="shared" si="12"/>
        <v>0</v>
      </c>
      <c r="Y28" s="160">
        <f t="shared" si="13"/>
        <v>6913.920000000001</v>
      </c>
      <c r="Z28" s="160">
        <f>IF(M28="","", VLOOKUP(B$6,rekenwaarden!M$8:T$12,3)*Q28)</f>
        <v>6617.4166666666661</v>
      </c>
      <c r="AA28" s="160">
        <f t="shared" si="14"/>
        <v>72791.583333333328</v>
      </c>
      <c r="AB28" s="160">
        <f>IF(M28="","", VLOOKUP($B$6,rekenwaarden!M$8:T$12,4)*Q28)</f>
        <v>11483.333333333332</v>
      </c>
      <c r="AC28" s="160">
        <f t="shared" si="15"/>
        <v>126316.66666666663</v>
      </c>
      <c r="AD28" s="160">
        <f t="shared" si="16"/>
        <v>11057.279999999999</v>
      </c>
      <c r="AE28" s="160">
        <f t="shared" si="17"/>
        <v>0</v>
      </c>
      <c r="AF28" s="160">
        <f t="shared" si="23"/>
        <v>0</v>
      </c>
      <c r="AG28" s="160">
        <f t="shared" si="18"/>
        <v>0</v>
      </c>
      <c r="AH28" s="161">
        <f t="shared" ca="1" si="19"/>
        <v>0</v>
      </c>
      <c r="AI28" s="161">
        <f t="shared" ca="1" si="24"/>
        <v>0</v>
      </c>
      <c r="AJ28" s="161"/>
      <c r="AK28" s="161"/>
      <c r="AL28" s="164">
        <f t="shared" ca="1" si="25"/>
        <v>0</v>
      </c>
    </row>
    <row r="29" spans="1:38" s="113" customFormat="1" ht="15.65" customHeight="1" x14ac:dyDescent="0.25">
      <c r="A29" s="125"/>
      <c r="B29" s="126"/>
      <c r="C29" s="200"/>
      <c r="D29" s="163">
        <f t="shared" si="20"/>
        <v>12</v>
      </c>
      <c r="E29" s="150" t="str">
        <f t="shared" si="20"/>
        <v>december</v>
      </c>
      <c r="F29" s="151">
        <f t="shared" si="20"/>
        <v>46722</v>
      </c>
      <c r="G29" s="151">
        <f t="shared" si="20"/>
        <v>46752</v>
      </c>
      <c r="H29" s="189">
        <f t="shared" si="1"/>
        <v>156</v>
      </c>
      <c r="I29" s="192">
        <f t="shared" si="2"/>
        <v>3369.6</v>
      </c>
      <c r="J29" s="189">
        <f>IF($E29="","",IF($E30="",SUM(H29:H$30),H29))</f>
        <v>156</v>
      </c>
      <c r="K29" s="192">
        <f>IF($E29="","",IF($E30="",SUM(I29:I$30),I29))</f>
        <v>3369.6</v>
      </c>
      <c r="L29" s="152">
        <f t="shared" si="3"/>
        <v>40</v>
      </c>
      <c r="M29" s="151">
        <f t="shared" si="4"/>
        <v>46722</v>
      </c>
      <c r="N29" s="151">
        <f t="shared" si="5"/>
        <v>46752</v>
      </c>
      <c r="O29" s="150">
        <f t="shared" si="21"/>
        <v>31</v>
      </c>
      <c r="P29" s="153">
        <f t="shared" si="6"/>
        <v>1</v>
      </c>
      <c r="Q29" s="154">
        <f t="shared" si="7"/>
        <v>8.3333333333333329E-2</v>
      </c>
      <c r="R29" s="155">
        <f t="shared" si="8"/>
        <v>173.33333333333334</v>
      </c>
      <c r="S29" s="156">
        <f t="shared" si="9"/>
        <v>21340.799999999999</v>
      </c>
      <c r="T29" s="157">
        <f t="shared" si="10"/>
        <v>988</v>
      </c>
      <c r="U29" s="157">
        <f t="shared" si="11"/>
        <v>2079.9999999999995</v>
      </c>
      <c r="V29" s="158">
        <f t="shared" si="22"/>
        <v>0.47500000000000009</v>
      </c>
      <c r="W29" s="159">
        <f>IF(M29="","",VLOOKUP($B$6,rekenwaarden!M$8:N$12,2))</f>
        <v>8.31</v>
      </c>
      <c r="X29" s="160">
        <f t="shared" si="12"/>
        <v>1296.3600000000001</v>
      </c>
      <c r="Y29" s="160">
        <f t="shared" si="13"/>
        <v>8210.2800000000007</v>
      </c>
      <c r="Z29" s="160">
        <f>IF(M29="","", VLOOKUP(B$6,rekenwaarden!M$8:T$12,3)*Q29)</f>
        <v>6617.4166666666661</v>
      </c>
      <c r="AA29" s="160">
        <f t="shared" si="14"/>
        <v>79409</v>
      </c>
      <c r="AB29" s="160">
        <f>IF(M29="","", VLOOKUP($B$6,rekenwaarden!M$8:T$12,4)*Q29)</f>
        <v>11483.333333333332</v>
      </c>
      <c r="AC29" s="160">
        <f t="shared" si="15"/>
        <v>137799.99999999997</v>
      </c>
      <c r="AD29" s="160">
        <f t="shared" si="16"/>
        <v>13130.519999999999</v>
      </c>
      <c r="AE29" s="160">
        <f t="shared" si="17"/>
        <v>2073.2399999999998</v>
      </c>
      <c r="AF29" s="160">
        <f t="shared" si="23"/>
        <v>0</v>
      </c>
      <c r="AG29" s="160">
        <f t="shared" si="18"/>
        <v>0</v>
      </c>
      <c r="AH29" s="161">
        <f t="shared" ca="1" si="19"/>
        <v>615.75227999999993</v>
      </c>
      <c r="AI29" s="161">
        <f t="shared" ca="1" si="24"/>
        <v>0</v>
      </c>
      <c r="AJ29" s="161"/>
      <c r="AK29" s="161"/>
      <c r="AL29" s="164">
        <f t="shared" ca="1" si="25"/>
        <v>615.75227999999993</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row r="33" spans="1:1" x14ac:dyDescent="0.25">
      <c r="A33" s="217"/>
    </row>
  </sheetData>
  <sheetProtection algorithmName="SHA-512" hashValue="PmxKVtHeK7/WRkSCSEy/sVm6VnZ5p87Z4m7UjnwkiizbCicRXjU6EKg2CRzUhyWHlua1b8ZYHkk1TsFUs0y0Hg==" saltValue="CsZ7tCtvHfUN5lhkOszhAw==" spinCount="100000" sheet="1" objects="1" scenarios="1"/>
  <protectedRanges>
    <protectedRange sqref="K2:U14" name="Loonaangiftebericht"/>
    <protectedRange sqref="B1:B9" name="Persoon en IKV"/>
  </protectedRanges>
  <mergeCells count="2">
    <mergeCell ref="A11:B11"/>
    <mergeCell ref="D17:E17"/>
  </mergeCells>
  <dataValidations count="8">
    <dataValidation type="list" allowBlank="1" showInputMessage="1" showErrorMessage="1" sqref="B2" xr:uid="{50CBBBB0-80A7-4E8F-9AD8-62B7EAEB6404}">
      <formula1>"Maandelijks,Vierwekelijks"</formula1>
    </dataValidation>
    <dataValidation type="list" allowBlank="1" showInputMessage="1" showErrorMessage="1" sqref="B8:C8" xr:uid="{B475AAE7-00E5-4A3F-8861-5EEFAEE0B19C}">
      <formula1>"WAAR,NIET WAAR"</formula1>
    </dataValidation>
    <dataValidation type="list" allowBlank="1" showInputMessage="1" showErrorMessage="1" sqref="B1:C1" xr:uid="{B22AB164-1024-41FE-99D0-1C3CCCDCE980}">
      <formula1>"2027,2028"</formula1>
    </dataValidation>
    <dataValidation type="list" allowBlank="1" showInputMessage="1" showErrorMessage="1" sqref="C2" xr:uid="{3BDD0B9A-F96F-4DE5-8089-742E1E71E8D9}">
      <formula1>"maandelijks,vierwekelijks"</formula1>
    </dataValidation>
    <dataValidation type="list" allowBlank="1" showInputMessage="1" showErrorMessage="1" sqref="L2:L14" xr:uid="{DDB9B31C-1F21-460C-987B-496D204A176C}">
      <formula1>Code_Soort_IKV</formula1>
    </dataValidation>
    <dataValidation type="list" allowBlank="1" showInputMessage="1" showErrorMessage="1" sqref="M2:M14" xr:uid="{B5610D64-B43D-495A-A2DD-FE910DB3FA62}">
      <formula1>Code_Aard_Arbeidsverhouding</formula1>
    </dataValidation>
    <dataValidation type="list" allowBlank="1" showInputMessage="1" showErrorMessage="1" sqref="K2:K14" xr:uid="{606E6FD9-6302-4491-8205-EC3DB6529D10}">
      <formula1>Code_Reden_Einde_Arbeidsverhouding</formula1>
    </dataValidation>
    <dataValidation type="whole" allowBlank="1" showInputMessage="1" showErrorMessage="1" promptTitle="Handboek Loonheffingen: " prompt="Rekenkundig afgeronde hele uren" sqref="N2:N14" xr:uid="{410C233D-3938-4D63-B6FC-1108B81EE703}">
      <formula1>-999</formula1>
      <formula2>999</formula2>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7EF73D72-FD7A-40E0-996E-8CB63B912EE3}">
          <x14:formula1>
            <xm:f>rekenwaarden!$M$8:$M$12</xm:f>
          </x14:formula1>
          <xm:sqref>B6:C6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03441-B772-47E6-B618-F7AB30086B0E}">
  <sheetPr>
    <tabColor theme="7" tint="-0.249977111117893"/>
  </sheetPr>
  <dimension ref="A1:AL33"/>
  <sheetViews>
    <sheetView showGridLines="0" zoomScale="90" zoomScaleNormal="90" workbookViewId="0">
      <pane xSplit="2" ySplit="30" topLeftCell="C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8164062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6.453125" bestFit="1" customWidth="1"/>
    <col min="22" max="33" width="15.81640625" customWidth="1"/>
    <col min="34" max="34" width="19.453125" bestFit="1" customWidth="1"/>
    <col min="35" max="35" width="20.453125" customWidth="1"/>
    <col min="36" max="36" width="12.81640625" bestFit="1" customWidth="1"/>
    <col min="37" max="37" width="17.1796875"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114" t="s">
        <v>18</v>
      </c>
      <c r="W1" s="121" t="s">
        <v>61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IF(OR(Datum_Einde_IKV="",Tabel13510111213[[#This Row],[DatAanvTv]]&lt;Datum_Einde_IKV),IF(E1="december","",IF(Verloningsperiodiciteit="maandelijks",rekenwaarden!F3,_xlfn.CONCAT("Periode ",rekenwaarden!E3))),"")</f>
        <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t="str">
        <f>IF(Tabel13510111213[[#This Row],[Inkomsten-periode]]="","",DATEDIF(Geboortedatum,Tabel13510111213[[#This Row],[DatEindTv]],"Y"))</f>
        <v/>
      </c>
      <c r="I2" s="146" t="str">
        <f>IF(Tabel13510111213[[#This Row],[Inkomsten-periode]]="","",IF(Datum_Aanvang_IKV="","",Datum_Aanvang_IKV))</f>
        <v/>
      </c>
      <c r="J2" s="146" t="str">
        <f>IF(Tabel13510111213[[#This Row],[Inkomsten-periode]]="","",IF(Datum_Einde_IKV="","",IF(Datum_Einde_IKV&lt;=Tabel13510111213[[#This Row],[DatEindTv]],Datum_Einde_IKV,"")))</f>
        <v/>
      </c>
      <c r="K2" s="138"/>
      <c r="L2" s="138">
        <v>15</v>
      </c>
      <c r="M2" s="138">
        <v>1</v>
      </c>
      <c r="N2" s="139">
        <v>-20</v>
      </c>
      <c r="O2" s="140">
        <v>-300</v>
      </c>
      <c r="P2" s="140">
        <v>0</v>
      </c>
      <c r="Q2" s="140">
        <v>0</v>
      </c>
      <c r="R2" s="140">
        <v>0</v>
      </c>
      <c r="S2" s="140">
        <v>0</v>
      </c>
      <c r="T2" s="140">
        <v>-300</v>
      </c>
      <c r="U2" s="140"/>
      <c r="V2" s="184"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Row],[OpnAvwb]],0))))</f>
        <v/>
      </c>
      <c r="W2" s="185"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Row],[AantVerlU]],0))))</f>
        <v/>
      </c>
      <c r="X2" s="184">
        <f>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f>
        <v>-300</v>
      </c>
      <c r="Y2" s="185">
        <f>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f>
        <v>-20</v>
      </c>
    </row>
    <row r="3" spans="1:38" s="113" customFormat="1" ht="16.399999999999999" customHeight="1" x14ac:dyDescent="0.25">
      <c r="A3" s="122" t="s">
        <v>21</v>
      </c>
      <c r="B3" s="133">
        <v>37473</v>
      </c>
      <c r="C3" s="202"/>
      <c r="D3" s="145" t="str">
        <f>IF(OR(Datum_Einde_IKV&gt;G2,Datum_Einde_IKV=""),IF(AND($B$2="Maandelijks", COUNTIF($D$1:D2, 12)=1), "",IF(OR(AND($B$2="Maandelijks", D2=12),AND($B$2="Vierwekelijks", D2=13), D2 = "Periode"), 1, D2+1)),"")</f>
        <v/>
      </c>
      <c r="E3" s="145" t="str">
        <f>IF(OR(Datum_Einde_IKV="",Tabel13510111213[[#This Row],[DatAanvTv]]&lt;Datum_Einde_IKV),IF(E2="december","",IF(Verloningsperiodiciteit="maandelijks",rekenwaarden!F4,_xlfn.CONCAT("Periode ",rekenwaarden!E4))),"")</f>
        <v/>
      </c>
      <c r="F3" s="146" t="str">
        <f t="shared" ref="F3:F14" si="0">IF(OR(G2="",D3="",IF(Datum_Einde_IKV&lt;&gt;"",G2&gt;=Datum_Einde_IKV,"")),"",G2+1)</f>
        <v/>
      </c>
      <c r="G3" s="146" t="str">
        <f>IF(F3="", "", IF(Verloningsperiodiciteit="Vierwekelijks", _xlfn.XLOOKUP(F3,rekenwaarden!$C$3:$C$54,rekenwaarden!$D$3:$D$54,"niet gevonden",-1), _xlfn.XLOOKUP(F3,rekenwaarden!$I$3:$I$54,rekenwaarden!$J$3:$J$54,"niet gevonden",-1)))</f>
        <v/>
      </c>
      <c r="H3" s="147" t="str">
        <f>IF(Tabel13510111213[[#This Row],[Inkomsten-periode]]="","",DATEDIF(Geboortedatum,Tabel13510111213[[#This Row],[DatEindTv]],"Y"))</f>
        <v/>
      </c>
      <c r="I3" s="146" t="str">
        <f>IF(Tabel13510111213[[#This Row],[Inkomsten-periode]]="","",IF(Datum_Aanvang_IKV="","",Datum_Aanvang_IKV))</f>
        <v/>
      </c>
      <c r="J3" s="146" t="str">
        <f>IF(Tabel13510111213[[#This Row],[Inkomsten-periode]]="","",IF(Datum_Einde_IKV="","",IF(Datum_Einde_IKV&lt;=Tabel13510111213[[#This Row],[DatEindTv]],Datum_Einde_IKV,"")))</f>
        <v/>
      </c>
      <c r="K3" s="141"/>
      <c r="L3" s="141"/>
      <c r="M3" s="141"/>
      <c r="N3" s="142"/>
      <c r="O3" s="143"/>
      <c r="P3" s="143"/>
      <c r="Q3" s="143"/>
      <c r="R3" s="143"/>
      <c r="S3" s="143"/>
      <c r="T3" s="143"/>
      <c r="U3" s="143"/>
      <c r="V3" s="184"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Row],[OpnAvwb]],0))))</f>
        <v/>
      </c>
      <c r="W3" s="186"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Row],[AantVerlU]],0))))</f>
        <v/>
      </c>
      <c r="X3" s="184" t="str">
        <f>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f>
        <v/>
      </c>
      <c r="Y3" s="186" t="str">
        <f>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f>
        <v/>
      </c>
    </row>
    <row r="4" spans="1:38" s="113" customFormat="1" ht="16.399999999999999" customHeight="1" x14ac:dyDescent="0.25">
      <c r="A4" s="122" t="s">
        <v>22</v>
      </c>
      <c r="B4" s="134">
        <v>46023</v>
      </c>
      <c r="C4" s="202"/>
      <c r="D4" s="144" t="str">
        <f>IF(OR(Datum_Einde_IKV&gt;G3,Datum_Einde_IKV=""),IF(AND($B$2="Maandelijks", COUNTIF($D$1:D3, 12)=1), "",IF(OR(AND($B$2="Maandelijks", D3=12),AND($B$2="Vierwekelijks", D3=13), D3 = "Periode"), 1, D3+1)),"")</f>
        <v/>
      </c>
      <c r="E4" s="145" t="str">
        <f>IF(OR(Datum_Einde_IKV="",Tabel13510111213[[#This Row],[DatAanvTv]]&lt;Datum_Einde_IKV),IF(E3="december","",IF(Verloningsperiodiciteit="maandelijks",rekenwaarden!F5,_xlfn.CONCAT("Periode ",rekenwaarden!E5))),"")</f>
        <v/>
      </c>
      <c r="F4" s="146" t="str">
        <f t="shared" si="0"/>
        <v/>
      </c>
      <c r="G4" s="146" t="str">
        <f>IF(F4="", "", IF(Verloningsperiodiciteit="Vierwekelijks", _xlfn.XLOOKUP(F4,rekenwaarden!$C$3:$C$54,rekenwaarden!$D$3:$D$54,"niet gevonden",-1), _xlfn.XLOOKUP(F4,rekenwaarden!$I$3:$I$54,rekenwaarden!$J$3:$J$54,"niet gevonden",-1)))</f>
        <v/>
      </c>
      <c r="H4" s="147" t="str">
        <f>IF(Tabel13510111213[[#This Row],[Inkomsten-periode]]="","",DATEDIF(Geboortedatum,Tabel13510111213[[#This Row],[DatEindTv]],"Y"))</f>
        <v/>
      </c>
      <c r="I4" s="146" t="str">
        <f>IF(Tabel13510111213[[#This Row],[Inkomsten-periode]]="","",IF(Datum_Aanvang_IKV="","",Datum_Aanvang_IKV))</f>
        <v/>
      </c>
      <c r="J4" s="146" t="str">
        <f>IF(Tabel13510111213[[#This Row],[Inkomsten-periode]]="","",IF(Datum_Einde_IKV="","",IF(Datum_Einde_IKV&lt;=Tabel13510111213[[#This Row],[DatEindTv]],Datum_Einde_IKV,"")))</f>
        <v/>
      </c>
      <c r="K4" s="138"/>
      <c r="L4" s="138"/>
      <c r="M4" s="138"/>
      <c r="N4" s="139"/>
      <c r="O4" s="140"/>
      <c r="P4" s="140"/>
      <c r="Q4" s="140"/>
      <c r="R4" s="140"/>
      <c r="S4" s="140"/>
      <c r="T4" s="140"/>
      <c r="U4" s="140"/>
      <c r="V4" s="184"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Row],[OpnAvwb]],0))))</f>
        <v/>
      </c>
      <c r="W4" s="186"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Row],[AantVerlU]],0))))</f>
        <v/>
      </c>
      <c r="X4" s="184" t="str">
        <f>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f>
        <v/>
      </c>
      <c r="Y4" s="186" t="str">
        <f>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f>
        <v/>
      </c>
    </row>
    <row r="5" spans="1:38" s="113" customFormat="1" ht="16.399999999999999" customHeight="1" x14ac:dyDescent="0.25">
      <c r="A5" s="122" t="s">
        <v>23</v>
      </c>
      <c r="B5" s="133">
        <v>46371</v>
      </c>
      <c r="C5" s="202"/>
      <c r="D5" s="145" t="str">
        <f>IF(OR(Datum_Einde_IKV&gt;G4,Datum_Einde_IKV=""),IF(AND($B$2="Maandelijks", COUNTIF($D$1:D4, 12)=1), "",IF(OR(AND($B$2="Maandelijks", D4=12),AND($B$2="Vierwekelijks", D4=13), D4 = "Periode"), 1, D4+1)),"")</f>
        <v/>
      </c>
      <c r="E5" s="145" t="str">
        <f>IF(OR(Datum_Einde_IKV="",Tabel13510111213[[#This Row],[DatAanvTv]]&lt;Datum_Einde_IKV),IF(E4="december","",IF(Verloningsperiodiciteit="maandelijks",rekenwaarden!F6,_xlfn.CONCAT("Periode ",rekenwaarden!E6))),"")</f>
        <v/>
      </c>
      <c r="F5" s="146" t="str">
        <f t="shared" si="0"/>
        <v/>
      </c>
      <c r="G5" s="146" t="str">
        <f>IF(F5="", "", IF(Verloningsperiodiciteit="Vierwekelijks", _xlfn.XLOOKUP(F5,rekenwaarden!$C$3:$C$54,rekenwaarden!$D$3:$D$54,"niet gevonden",-1), _xlfn.XLOOKUP(F5,rekenwaarden!$I$3:$I$54,rekenwaarden!$J$3:$J$54,"niet gevonden",-1)))</f>
        <v/>
      </c>
      <c r="H5" s="147" t="str">
        <f>IF(Tabel13510111213[[#This Row],[Inkomsten-periode]]="","",DATEDIF(Geboortedatum,Tabel13510111213[[#This Row],[DatEindTv]],"Y"))</f>
        <v/>
      </c>
      <c r="I5" s="146" t="str">
        <f>IF(Tabel13510111213[[#This Row],[Inkomsten-periode]]="","",IF(Datum_Aanvang_IKV="","",Datum_Aanvang_IKV))</f>
        <v/>
      </c>
      <c r="J5" s="146" t="str">
        <f>IF(Tabel13510111213[[#This Row],[Inkomsten-periode]]="","",IF(Datum_Einde_IKV="","",IF(Datum_Einde_IKV&lt;=Tabel13510111213[[#This Row],[DatEindTv]],Datum_Einde_IKV,"")))</f>
        <v/>
      </c>
      <c r="K5" s="141"/>
      <c r="L5" s="141"/>
      <c r="M5" s="141"/>
      <c r="N5" s="142"/>
      <c r="O5" s="143"/>
      <c r="P5" s="143"/>
      <c r="Q5" s="143"/>
      <c r="R5" s="143"/>
      <c r="S5" s="143"/>
      <c r="T5" s="143"/>
      <c r="U5" s="143"/>
      <c r="V5" s="184"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Row],[OpnAvwb]],0))))</f>
        <v/>
      </c>
      <c r="W5" s="186"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Row],[AantVerlU]],0))))</f>
        <v/>
      </c>
      <c r="X5" s="184" t="str">
        <f>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f>
        <v/>
      </c>
      <c r="Y5" s="186" t="str">
        <f>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f>
        <v/>
      </c>
    </row>
    <row r="6" spans="1:38" s="113" customFormat="1" ht="16.399999999999999" customHeight="1" x14ac:dyDescent="0.25">
      <c r="A6" s="122" t="s">
        <v>24</v>
      </c>
      <c r="B6" s="135" t="s">
        <v>25</v>
      </c>
      <c r="C6" s="203"/>
      <c r="D6" s="144" t="str">
        <f>IF(OR(Datum_Einde_IKV&gt;G5,Datum_Einde_IKV=""),IF(AND($B$2="Maandelijks", COUNTIF($D$1:D5, 12)=1), "",IF(OR(AND($B$2="Maandelijks", D5=12),AND($B$2="Vierwekelijks", D5=13), D5 = "Periode"), 1, D5+1)),"")</f>
        <v/>
      </c>
      <c r="E6" s="145" t="str">
        <f>IF(OR(Datum_Einde_IKV="",Tabel13510111213[[#This Row],[DatAanvTv]]&lt;Datum_Einde_IKV),IF(E5="december","",IF(Verloningsperiodiciteit="maandelijks",rekenwaarden!F7,_xlfn.CONCAT("Periode ",rekenwaarden!E7))),"")</f>
        <v/>
      </c>
      <c r="F6" s="146" t="str">
        <f t="shared" si="0"/>
        <v/>
      </c>
      <c r="G6" s="146" t="str">
        <f>IF(F6="", "", IF(Verloningsperiodiciteit="Vierwekelijks", _xlfn.XLOOKUP(F6,rekenwaarden!$C$3:$C$54,rekenwaarden!$D$3:$D$54,"niet gevonden",-1), _xlfn.XLOOKUP(F6,rekenwaarden!$I$3:$I$54,rekenwaarden!$J$3:$J$54,"niet gevonden",-1)))</f>
        <v/>
      </c>
      <c r="H6" s="147" t="str">
        <f>IF(Tabel13510111213[[#This Row],[Inkomsten-periode]]="","",DATEDIF(Geboortedatum,Tabel13510111213[[#This Row],[DatEindTv]],"Y"))</f>
        <v/>
      </c>
      <c r="I6" s="146" t="str">
        <f>IF(Tabel13510111213[[#This Row],[Inkomsten-periode]]="","",IF(Datum_Aanvang_IKV="","",Datum_Aanvang_IKV))</f>
        <v/>
      </c>
      <c r="J6" s="146" t="str">
        <f>IF(Tabel13510111213[[#This Row],[Inkomsten-periode]]="","",IF(Datum_Einde_IKV="","",IF(Datum_Einde_IKV&lt;=Tabel13510111213[[#This Row],[DatEindTv]],Datum_Einde_IKV,"")))</f>
        <v/>
      </c>
      <c r="K6" s="138"/>
      <c r="L6" s="138"/>
      <c r="M6" s="138"/>
      <c r="N6" s="139"/>
      <c r="O6" s="140"/>
      <c r="P6" s="140"/>
      <c r="Q6" s="140"/>
      <c r="R6" s="140"/>
      <c r="S6" s="140"/>
      <c r="T6" s="140"/>
      <c r="U6" s="140"/>
      <c r="V6" s="184"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Row],[OpnAvwb]],0))))</f>
        <v/>
      </c>
      <c r="W6" s="186"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Row],[AantVerlU]],0))))</f>
        <v/>
      </c>
      <c r="X6" s="184" t="str">
        <f>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f>
        <v/>
      </c>
      <c r="Y6" s="186" t="str">
        <f>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f>
        <v/>
      </c>
    </row>
    <row r="7" spans="1:38" s="113" customFormat="1" ht="16.399999999999999" customHeight="1" x14ac:dyDescent="0.25">
      <c r="A7" s="122" t="s">
        <v>26</v>
      </c>
      <c r="B7" s="136">
        <f>VLOOKUP(B6,rekenwaarden!M8:T12,8)</f>
        <v>40</v>
      </c>
      <c r="C7" s="204"/>
      <c r="D7" s="145" t="str">
        <f>IF(OR(Datum_Einde_IKV&gt;G6,Datum_Einde_IKV=""),IF(AND($B$2="Maandelijks", COUNTIF($D$1:D6, 12)=1), "",IF(OR(AND($B$2="Maandelijks", D6=12),AND($B$2="Vierwekelijks", D6=13), D6 = "Periode"), 1, D6+1)),"")</f>
        <v/>
      </c>
      <c r="E7" s="145" t="str">
        <f>IF(OR(Datum_Einde_IKV="",Tabel13510111213[[#This Row],[DatAanvTv]]&lt;Datum_Einde_IKV),IF(E6="december","",IF(Verloningsperiodiciteit="maandelijks",rekenwaarden!F8,_xlfn.CONCAT("Periode ",rekenwaarden!E8))),"")</f>
        <v/>
      </c>
      <c r="F7" s="146" t="str">
        <f t="shared" si="0"/>
        <v/>
      </c>
      <c r="G7" s="146" t="str">
        <f>IF(F7="", "", IF(Verloningsperiodiciteit="Vierwekelijks", _xlfn.XLOOKUP(F7,rekenwaarden!$C$3:$C$54,rekenwaarden!$D$3:$D$54,"niet gevonden",-1), _xlfn.XLOOKUP(F7,rekenwaarden!$I$3:$I$54,rekenwaarden!$J$3:$J$54,"niet gevonden",-1)))</f>
        <v/>
      </c>
      <c r="H7" s="147" t="str">
        <f>IF(Tabel13510111213[[#This Row],[Inkomsten-periode]]="","",DATEDIF(Geboortedatum,Tabel13510111213[[#This Row],[DatEindTv]],"Y"))</f>
        <v/>
      </c>
      <c r="I7" s="146" t="str">
        <f>IF(Tabel13510111213[[#This Row],[Inkomsten-periode]]="","",IF(Datum_Aanvang_IKV="","",Datum_Aanvang_IKV))</f>
        <v/>
      </c>
      <c r="J7" s="146" t="str">
        <f>IF(Tabel13510111213[[#This Row],[Inkomsten-periode]]="","",IF(Datum_Einde_IKV="","",IF(Datum_Einde_IKV&lt;=Tabel13510111213[[#This Row],[DatEindTv]],Datum_Einde_IKV,"")))</f>
        <v/>
      </c>
      <c r="K7" s="141"/>
      <c r="L7" s="141"/>
      <c r="M7" s="141"/>
      <c r="N7" s="142"/>
      <c r="O7" s="143"/>
      <c r="P7" s="143"/>
      <c r="Q7" s="143"/>
      <c r="R7" s="143"/>
      <c r="S7" s="143"/>
      <c r="T7" s="143"/>
      <c r="U7" s="143"/>
      <c r="V7" s="184"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Row],[OpnAvwb]],0))))</f>
        <v/>
      </c>
      <c r="W7" s="186"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Row],[AantVerlU]],0))))</f>
        <v/>
      </c>
      <c r="X7" s="184" t="str">
        <f>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f>
        <v/>
      </c>
      <c r="Y7" s="186" t="str">
        <f>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f>
        <v/>
      </c>
    </row>
    <row r="8" spans="1:38" s="113" customFormat="1" ht="16.399999999999999" customHeight="1" x14ac:dyDescent="0.25">
      <c r="A8" s="122" t="s">
        <v>27</v>
      </c>
      <c r="B8" s="137" t="b">
        <v>1</v>
      </c>
      <c r="C8" s="202"/>
      <c r="D8" s="144" t="str">
        <f>IF(OR(Datum_Einde_IKV&gt;G7,Datum_Einde_IKV=""),IF(AND($B$2="Maandelijks", COUNTIF($D$1:D7, 12)=1), "",IF(OR(AND($B$2="Maandelijks", D7=12),AND($B$2="Vierwekelijks", D7=13), D7 = "Periode"), 1, D7+1)),"")</f>
        <v/>
      </c>
      <c r="E8" s="145" t="str">
        <f>IF(OR(Datum_Einde_IKV="",Tabel13510111213[[#This Row],[DatAanvTv]]&lt;Datum_Einde_IKV),IF(E7="december","",IF(Verloningsperiodiciteit="maandelijks",rekenwaarden!F9,_xlfn.CONCAT("Periode ",rekenwaarden!E9))),"")</f>
        <v/>
      </c>
      <c r="F8" s="146" t="str">
        <f t="shared" si="0"/>
        <v/>
      </c>
      <c r="G8" s="146" t="str">
        <f>IF(F8="", "", IF(Verloningsperiodiciteit="Vierwekelijks", _xlfn.XLOOKUP(F8,rekenwaarden!$C$3:$C$54,rekenwaarden!$D$3:$D$54,"niet gevonden",-1), _xlfn.XLOOKUP(F8,rekenwaarden!$I$3:$I$54,rekenwaarden!$J$3:$J$54,"niet gevonden",-1)))</f>
        <v/>
      </c>
      <c r="H8" s="147" t="str">
        <f>IF(Tabel13510111213[[#This Row],[Inkomsten-periode]]="","",DATEDIF(Geboortedatum,Tabel13510111213[[#This Row],[DatEindTv]],"Y"))</f>
        <v/>
      </c>
      <c r="I8" s="146" t="str">
        <f>IF(Tabel13510111213[[#This Row],[Inkomsten-periode]]="","",IF(Datum_Aanvang_IKV="","",Datum_Aanvang_IKV))</f>
        <v/>
      </c>
      <c r="J8" s="146" t="str">
        <f>IF(Tabel13510111213[[#This Row],[Inkomsten-periode]]="","",IF(Datum_Einde_IKV="","",IF(Datum_Einde_IKV&lt;=Tabel13510111213[[#This Row],[DatEindTv]],Datum_Einde_IKV,"")))</f>
        <v/>
      </c>
      <c r="K8" s="138"/>
      <c r="L8" s="138"/>
      <c r="M8" s="138"/>
      <c r="N8" s="139"/>
      <c r="O8" s="140"/>
      <c r="P8" s="140"/>
      <c r="Q8" s="140"/>
      <c r="R8" s="140"/>
      <c r="S8" s="140"/>
      <c r="T8" s="140"/>
      <c r="U8" s="140"/>
      <c r="V8" s="184"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Row],[OpnAvwb]],0))))</f>
        <v/>
      </c>
      <c r="W8" s="186"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Row],[AantVerlU]],0))))</f>
        <v/>
      </c>
      <c r="X8" s="184" t="str">
        <f>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f>
        <v/>
      </c>
      <c r="Y8" s="186" t="str">
        <f>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f>
        <v/>
      </c>
    </row>
    <row r="9" spans="1:38" s="113" customFormat="1" ht="16.399999999999999" customHeight="1" x14ac:dyDescent="0.25">
      <c r="A9" s="122"/>
      <c r="B9" s="131"/>
      <c r="C9" s="200"/>
      <c r="D9" s="145" t="str">
        <f>IF(OR(Datum_Einde_IKV&gt;G8,Datum_Einde_IKV=""),IF(AND($B$2="Maandelijks", COUNTIF($D$1:D8, 12)=1), "",IF(OR(AND($B$2="Maandelijks", D8=12),AND($B$2="Vierwekelijks", D8=13), D8 = "Periode"), 1, D8+1)),"")</f>
        <v/>
      </c>
      <c r="E9" s="145" t="str">
        <f>IF(OR(Datum_Einde_IKV="",Tabel13510111213[[#This Row],[DatAanvTv]]&lt;Datum_Einde_IKV),IF(E8="december","",IF(Verloningsperiodiciteit="maandelijks",rekenwaarden!F10,_xlfn.CONCAT("Periode ",rekenwaarden!E10))),"")</f>
        <v/>
      </c>
      <c r="F9" s="146" t="str">
        <f t="shared" si="0"/>
        <v/>
      </c>
      <c r="G9" s="146" t="str">
        <f>IF(F9="", "", IF(Verloningsperiodiciteit="Vierwekelijks", _xlfn.XLOOKUP(F9,rekenwaarden!$C$3:$C$54,rekenwaarden!$D$3:$D$54,"niet gevonden",-1), _xlfn.XLOOKUP(F9,rekenwaarden!$I$3:$I$54,rekenwaarden!$J$3:$J$54,"niet gevonden",-1)))</f>
        <v/>
      </c>
      <c r="H9" s="147" t="str">
        <f>IF(Tabel13510111213[[#This Row],[Inkomsten-periode]]="","",DATEDIF(Geboortedatum,Tabel13510111213[[#This Row],[DatEindTv]],"Y"))</f>
        <v/>
      </c>
      <c r="I9" s="146" t="str">
        <f>IF(Tabel13510111213[[#This Row],[Inkomsten-periode]]="","",IF(Datum_Aanvang_IKV="","",Datum_Aanvang_IKV))</f>
        <v/>
      </c>
      <c r="J9" s="146" t="str">
        <f>IF(Tabel13510111213[[#This Row],[Inkomsten-periode]]="","",IF(Datum_Einde_IKV="","",IF(Datum_Einde_IKV&lt;=Tabel13510111213[[#This Row],[DatEindTv]],Datum_Einde_IKV,"")))</f>
        <v/>
      </c>
      <c r="K9" s="141"/>
      <c r="L9" s="141"/>
      <c r="M9" s="141"/>
      <c r="N9" s="142"/>
      <c r="O9" s="143"/>
      <c r="P9" s="143"/>
      <c r="Q9" s="143"/>
      <c r="R9" s="143"/>
      <c r="S9" s="143"/>
      <c r="T9" s="143"/>
      <c r="U9" s="143"/>
      <c r="V9" s="184"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Row],[OpnAvwb]],0))))</f>
        <v/>
      </c>
      <c r="W9" s="186"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Row],[AantVerlU]],0))))</f>
        <v/>
      </c>
      <c r="X9" s="184"/>
      <c r="Y9" s="186"/>
    </row>
    <row r="10" spans="1:38" s="113" customFormat="1" ht="16.399999999999999" customHeight="1" thickBot="1" x14ac:dyDescent="0.3">
      <c r="A10" s="200"/>
      <c r="B10" s="200"/>
      <c r="C10" s="200"/>
      <c r="D10" s="144" t="str">
        <f>IF(OR(Datum_Einde_IKV&gt;G9,Datum_Einde_IKV=""),IF(AND($B$2="Maandelijks", COUNTIF($D$1:D9, 12)=1), "",IF(OR(AND($B$2="Maandelijks", D9=12),AND($B$2="Vierwekelijks", D9=13), D9 = "Periode"), 1, D9+1)),"")</f>
        <v/>
      </c>
      <c r="E10" s="145" t="str">
        <f>IF(OR(Datum_Einde_IKV="",Tabel13510111213[[#This Row],[DatAanvTv]]&lt;Datum_Einde_IKV),IF(E9="december","",IF(Verloningsperiodiciteit="maandelijks",rekenwaarden!F11,_xlfn.CONCAT("Periode ",rekenwaarden!E11))),"")</f>
        <v/>
      </c>
      <c r="F10" s="146" t="str">
        <f t="shared" si="0"/>
        <v/>
      </c>
      <c r="G10" s="146" t="str">
        <f>IF(F10="", "", IF(Verloningsperiodiciteit="Vierwekelijks", _xlfn.XLOOKUP(F10,rekenwaarden!$C$3:$C$54,rekenwaarden!$D$3:$D$54,"niet gevonden",-1), _xlfn.XLOOKUP(F10,rekenwaarden!$I$3:$I$54,rekenwaarden!$J$3:$J$54,"niet gevonden",-1)))</f>
        <v/>
      </c>
      <c r="H10" s="147" t="str">
        <f>IF(Tabel13510111213[[#This Row],[Inkomsten-periode]]="","",DATEDIF(Geboortedatum,Tabel13510111213[[#This Row],[DatEindTv]],"Y"))</f>
        <v/>
      </c>
      <c r="I10" s="146" t="str">
        <f>IF(Tabel13510111213[[#This Row],[Inkomsten-periode]]="","",IF(Datum_Aanvang_IKV="","",Datum_Aanvang_IKV))</f>
        <v/>
      </c>
      <c r="J10" s="146" t="str">
        <f>IF(Tabel13510111213[[#This Row],[Inkomsten-periode]]="","",IF(Datum_Einde_IKV="","",IF(Datum_Einde_IKV&lt;=Tabel13510111213[[#This Row],[DatEindTv]],Datum_Einde_IKV,"")))</f>
        <v/>
      </c>
      <c r="K10" s="138"/>
      <c r="L10" s="138"/>
      <c r="M10" s="138"/>
      <c r="N10" s="139"/>
      <c r="O10" s="140"/>
      <c r="P10" s="140"/>
      <c r="Q10" s="140"/>
      <c r="R10" s="140"/>
      <c r="S10" s="140"/>
      <c r="T10" s="140"/>
      <c r="U10" s="140"/>
      <c r="V10" s="184"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Row],[OpnAvwb]],0))))</f>
        <v/>
      </c>
      <c r="W10" s="186"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Row],[AantVerlU]],0))))</f>
        <v/>
      </c>
      <c r="X10" s="184"/>
      <c r="Y10" s="186"/>
    </row>
    <row r="11" spans="1:38" s="113" customFormat="1" ht="16.399999999999999" customHeight="1" x14ac:dyDescent="0.25">
      <c r="A11" s="245" t="s">
        <v>65</v>
      </c>
      <c r="B11" s="246"/>
      <c r="C11" s="200"/>
      <c r="D11" s="145" t="str">
        <f>IF(OR(Datum_Einde_IKV&gt;G10,Datum_Einde_IKV=""),IF(AND($B$2="Maandelijks", COUNTIF($D$1:D10, 12)=1), "",IF(OR(AND($B$2="Maandelijks", D10=12),AND($B$2="Vierwekelijks", D10=13), D10 = "Periode"), 1, D10+1)),"")</f>
        <v/>
      </c>
      <c r="E11" s="145" t="str">
        <f>IF(OR(Datum_Einde_IKV="",Tabel13510111213[[#This Row],[DatAanvTv]]&lt;Datum_Einde_IKV),IF(E10="december","",IF(Verloningsperiodiciteit="maandelijks",rekenwaarden!F12,_xlfn.CONCAT("Periode ",rekenwaarden!E12))),"")</f>
        <v/>
      </c>
      <c r="F11" s="146" t="str">
        <f t="shared" si="0"/>
        <v/>
      </c>
      <c r="G11" s="146" t="str">
        <f>IF(F11="", "", IF(Verloningsperiodiciteit="Vierwekelijks", _xlfn.XLOOKUP(F11,rekenwaarden!$C$3:$C$54,rekenwaarden!$D$3:$D$54,"niet gevonden",-1), _xlfn.XLOOKUP(F11,rekenwaarden!$I$3:$I$54,rekenwaarden!$J$3:$J$54,"niet gevonden",-1)))</f>
        <v/>
      </c>
      <c r="H11" s="147" t="str">
        <f>IF(Tabel13510111213[[#This Row],[Inkomsten-periode]]="","",DATEDIF(Geboortedatum,Tabel13510111213[[#This Row],[DatEindTv]],"Y"))</f>
        <v/>
      </c>
      <c r="I11" s="146" t="str">
        <f>IF(Tabel13510111213[[#This Row],[Inkomsten-periode]]="","",IF(Datum_Aanvang_IKV="","",Datum_Aanvang_IKV))</f>
        <v/>
      </c>
      <c r="J11" s="146" t="str">
        <f>IF(Tabel13510111213[[#This Row],[Inkomsten-periode]]="","",IF(Datum_Einde_IKV="","",IF(Datum_Einde_IKV&lt;=Tabel13510111213[[#This Row],[DatEindTv]],Datum_Einde_IKV,"")))</f>
        <v/>
      </c>
      <c r="K11" s="141"/>
      <c r="L11" s="141"/>
      <c r="M11" s="141"/>
      <c r="N11" s="142"/>
      <c r="O11" s="143"/>
      <c r="P11" s="143"/>
      <c r="Q11" s="143"/>
      <c r="R11" s="143"/>
      <c r="S11" s="143"/>
      <c r="T11" s="143"/>
      <c r="U11" s="143"/>
      <c r="V11" s="184"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Row],[OpnAvwb]],0))))</f>
        <v/>
      </c>
      <c r="W11" s="186"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Row],[AantVerlU]],0))))</f>
        <v/>
      </c>
      <c r="X11" s="184"/>
      <c r="Y11" s="186"/>
    </row>
    <row r="12" spans="1:38" s="113" customFormat="1" ht="16.399999999999999" customHeight="1" x14ac:dyDescent="0.25">
      <c r="A12" s="125" t="s">
        <v>196</v>
      </c>
      <c r="B12" s="126"/>
      <c r="C12" s="200"/>
      <c r="D12" s="144" t="str">
        <f>IF(OR(Datum_Einde_IKV&gt;G11,Datum_Einde_IKV=""),IF(AND($B$2="Maandelijks", COUNTIF($D$1:D11, 12)=1), "",IF(OR(AND($B$2="Maandelijks", D11=12),AND($B$2="Vierwekelijks", D11=13), D11 = "Periode"), 1, D11+1)),"")</f>
        <v/>
      </c>
      <c r="E12" s="145" t="str">
        <f>IF(OR(Datum_Einde_IKV="",Tabel13510111213[[#This Row],[DatAanvTv]]&lt;Datum_Einde_IKV),IF(E11="december","",IF(Verloningsperiodiciteit="maandelijks",rekenwaarden!F13,_xlfn.CONCAT("Periode ",rekenwaarden!E13))),"")</f>
        <v/>
      </c>
      <c r="F12" s="146" t="str">
        <f t="shared" si="0"/>
        <v/>
      </c>
      <c r="G12" s="146" t="str">
        <f>IF(F12="", "", IF(Verloningsperiodiciteit="Vierwekelijks", _xlfn.XLOOKUP(F12,rekenwaarden!$C$3:$C$54,rekenwaarden!$D$3:$D$54,"niet gevonden",-1), _xlfn.XLOOKUP(F12,rekenwaarden!$I$3:$I$54,rekenwaarden!$J$3:$J$54,"niet gevonden",-1)))</f>
        <v/>
      </c>
      <c r="H12" s="147" t="str">
        <f>IF(Tabel13510111213[[#This Row],[Inkomsten-periode]]="","",DATEDIF(Geboortedatum,Tabel13510111213[[#This Row],[DatEindTv]],"Y"))</f>
        <v/>
      </c>
      <c r="I12" s="146" t="str">
        <f>IF(Tabel13510111213[[#This Row],[Inkomsten-periode]]="","",IF(Datum_Aanvang_IKV="","",Datum_Aanvang_IKV))</f>
        <v/>
      </c>
      <c r="J12" s="146" t="str">
        <f>IF(Tabel13510111213[[#This Row],[Inkomsten-periode]]="","",IF(Datum_Einde_IKV="","",IF(Datum_Einde_IKV&lt;=Tabel13510111213[[#This Row],[DatEindTv]],Datum_Einde_IKV,"")))</f>
        <v/>
      </c>
      <c r="K12" s="138"/>
      <c r="L12" s="138"/>
      <c r="M12" s="138"/>
      <c r="N12" s="139"/>
      <c r="O12" s="140"/>
      <c r="P12" s="140"/>
      <c r="Q12" s="140"/>
      <c r="R12" s="140"/>
      <c r="S12" s="140"/>
      <c r="T12" s="140"/>
      <c r="U12" s="140"/>
      <c r="V12" s="184"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Row],[OpnAvwb]],0))))</f>
        <v/>
      </c>
      <c r="W12" s="186"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Row],[AantVerlU]],0))))</f>
        <v/>
      </c>
      <c r="X12" s="184"/>
      <c r="Y12" s="186"/>
    </row>
    <row r="13" spans="1:38" s="113" customFormat="1" ht="16.399999999999999" customHeight="1" x14ac:dyDescent="0.25">
      <c r="A13" s="125" t="s">
        <v>197</v>
      </c>
      <c r="B13" s="126"/>
      <c r="C13" s="200"/>
      <c r="D13" s="145" t="str">
        <f>IF(OR(Datum_Einde_IKV&gt;G12,Datum_Einde_IKV=""),IF(AND($B$2="Maandelijks", COUNTIF($D$1:D12, 12)=1), "",IF(OR(AND($B$2="Maandelijks", D12=12),AND($B$2="Vierwekelijks", D12=13), D12 = "Periode"), 1, D12+1)),"")</f>
        <v/>
      </c>
      <c r="E13" s="145" t="str">
        <f>IF(OR(Datum_Einde_IKV="",Tabel13510111213[[#This Row],[DatAanvTv]]&lt;Datum_Einde_IKV),IF(E12="december","",IF(Verloningsperiodiciteit="maandelijks",rekenwaarden!F14,_xlfn.CONCAT("Periode ",rekenwaarden!E14))),"")</f>
        <v/>
      </c>
      <c r="F13" s="146" t="str">
        <f t="shared" si="0"/>
        <v/>
      </c>
      <c r="G13" s="146" t="str">
        <f>IF(F13="", "", IF(Verloningsperiodiciteit="Vierwekelijks", _xlfn.XLOOKUP(F13,rekenwaarden!$C$3:$C$54,rekenwaarden!$D$3:$D$54,"niet gevonden",-1), _xlfn.XLOOKUP(F13,rekenwaarden!$I$3:$I$54,rekenwaarden!$J$3:$J$54,"niet gevonden",-1)))</f>
        <v/>
      </c>
      <c r="H13" s="147" t="str">
        <f>IF(Tabel13510111213[[#This Row],[Inkomsten-periode]]="","",DATEDIF(Geboortedatum,Tabel13510111213[[#This Row],[DatEindTv]],"Y"))</f>
        <v/>
      </c>
      <c r="I13" s="146" t="str">
        <f>IF(Tabel13510111213[[#This Row],[Inkomsten-periode]]="","",IF(Datum_Aanvang_IKV="","",Datum_Aanvang_IKV))</f>
        <v/>
      </c>
      <c r="J13" s="146" t="str">
        <f>IF(Tabel13510111213[[#This Row],[Inkomsten-periode]]="","",IF(Datum_Einde_IKV="","",IF(Datum_Einde_IKV&lt;=Tabel13510111213[[#This Row],[DatEindTv]],Datum_Einde_IKV,"")))</f>
        <v/>
      </c>
      <c r="K13" s="141"/>
      <c r="L13" s="141"/>
      <c r="M13" s="141"/>
      <c r="N13" s="142"/>
      <c r="O13" s="143"/>
      <c r="P13" s="143"/>
      <c r="Q13" s="143"/>
      <c r="R13" s="143"/>
      <c r="S13" s="143"/>
      <c r="T13" s="143"/>
      <c r="U13" s="143"/>
      <c r="V13" s="184"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Row],[OpnAvwb]],0))))</f>
        <v/>
      </c>
      <c r="W13" s="186"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Row],[AantVerlU]],0))))</f>
        <v/>
      </c>
      <c r="X13" s="184"/>
      <c r="Y13" s="186"/>
    </row>
    <row r="14" spans="1:38" s="113" customFormat="1" ht="16.399999999999999" customHeight="1" x14ac:dyDescent="0.25">
      <c r="A14" s="125" t="s">
        <v>198</v>
      </c>
      <c r="B14" s="126"/>
      <c r="C14" s="200"/>
      <c r="D14" s="144" t="str">
        <f>IF(OR(Datum_Einde_IKV&gt;G13,Datum_Einde_IKV=""),IF(AND($B$2="Maandelijks", COUNTIF($D$1:D13, 12)=1), "",IF(OR(AND($B$2="Maandelijks", D13=12),AND($B$2="Vierwekelijks", D13=13), D13 = "Periode"), 1, D13+1)),"")</f>
        <v/>
      </c>
      <c r="E14" s="145" t="str">
        <f>IF(OR(Datum_Einde_IKV="",Tabel13510111213[[#This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IF(Tabel13510111213[[#This Row],[Inkomsten-periode]]="","",DATEDIF(Geboortedatum,Tabel13510111213[[#This Row],[DatEindTv]],"Y"))</f>
        <v/>
      </c>
      <c r="I14" s="146" t="str">
        <f>IF(Tabel13510111213[[#This Row],[Inkomsten-periode]]="","",IF(Datum_Aanvang_IKV="","",Datum_Aanvang_IKV))</f>
        <v/>
      </c>
      <c r="J14" s="146" t="str">
        <f>IF(Tabel13510111213[[#This Row],[Inkomsten-periode]]="","",IF(Datum_Einde_IKV="","",IF(Datum_Einde_IKV&lt;=Tabel13510111213[[#This Row],[DatEindTv]],Datum_Einde_IKV,"")))</f>
        <v/>
      </c>
      <c r="K14" s="138"/>
      <c r="L14" s="138"/>
      <c r="M14" s="138"/>
      <c r="N14" s="139"/>
      <c r="O14" s="140"/>
      <c r="P14" s="140"/>
      <c r="Q14" s="140"/>
      <c r="R14" s="140"/>
      <c r="S14" s="140"/>
      <c r="T14" s="140"/>
      <c r="U14" s="140"/>
      <c r="V14" s="184"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Row],[OpnAvwb]],0))))</f>
        <v/>
      </c>
      <c r="W14" s="187" t="str">
        <f>IF(Tabel13510111213[[#This Row],[Inkomsten-periode]]="","",IF(OR(Tabel13510111213[[#This Row],[Leeftijd]]&lt;18,Tabel13510111213[[#This Row],[Leeftijd]]&gt;=68),0,IF(Tabel13510111213[[#This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Row],[AantVerlU]],0))))</f>
        <v/>
      </c>
      <c r="X14" s="184" t="str">
        <f>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Row],[LnInGld]]+Tabel13510111213[[#This Row],[OpgRchtVakBsl]]-Tabel13510111213[[#This Row],[VakBsl]]+Tabel13510111213[[#This Row],[OpbAvwb]]-Tabel13510111213[[#This Row],[OpnAvwb]],"")),"")</f>
        <v/>
      </c>
      <c r="Y14" s="187" t="str">
        <f>IF(Tabel13510111213[[#This Row],[Inkomsten-periode]]="",IF(Tabel13510111213[[#This Row],[CdRdnEindArbov]]=33,0,IF(AND(OR(Tabel13510111213[[#This Row],[SrtIV]]=13,Tabel13510111213[[#This Row],[SrtIV]]=15,Tabel13510111213[[#This Row],[SrtIV]]=31),OR(Tabel13510111213[[#This Row],[CdAard]]=1,Tabel13510111213[[#This Row],[CdAard]]=11,Tabel13510111213[[#This Row],[CdAard]]=82,Tabel13510111213[[#This Row],[CdAard]]=83)),Tabel13510111213[[#This Row],[AantVerlU]],"")),"")</f>
        <v/>
      </c>
    </row>
    <row r="15" spans="1:38" ht="13" thickBot="1" x14ac:dyDescent="0.3">
      <c r="A15" s="212" t="s">
        <v>199</v>
      </c>
      <c r="B15" s="128"/>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4.5" x14ac:dyDescent="0.35">
      <c r="A16" s="127"/>
      <c r="B16" s="128"/>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127"/>
      <c r="B17" s="128"/>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125"/>
      <c r="B18" s="126"/>
      <c r="C18" s="200"/>
      <c r="D18" s="163">
        <f>D2</f>
        <v>1</v>
      </c>
      <c r="E18" s="150" t="str">
        <f>E2</f>
        <v/>
      </c>
      <c r="F18" s="151">
        <f>F2</f>
        <v>46388</v>
      </c>
      <c r="G18" s="151">
        <f>G2</f>
        <v>46418</v>
      </c>
      <c r="H18" s="188">
        <f t="shared" ref="H18:H30" si="1">IF(AND(W2="",Y2=""),"",MAX(W2,Y2))</f>
        <v>-20</v>
      </c>
      <c r="I18" s="191">
        <f t="shared" ref="I18:I30" si="2">IF(AND(V2="",X2=""),"",MAX(V2,X2))</f>
        <v>-300</v>
      </c>
      <c r="J18" s="188" t="str">
        <f>IF($E18="","",IF($E19="",SUM(H18:H$30),H18))</f>
        <v/>
      </c>
      <c r="K18" s="191" t="str">
        <f>IF($E18="","",IF($E19="",SUM(I18:I$30),I18))</f>
        <v/>
      </c>
      <c r="L18" s="152" t="str">
        <f t="shared" ref="L18:L30" si="3">IF(E18="","",Normuren_per_week)</f>
        <v/>
      </c>
      <c r="M18" s="151" t="str">
        <f t="shared" ref="M18:M30" si="4">IF(OR(MAX($B$4, F18)&gt;G18, MIN(Datum_Einde_IKV, G18)&lt;F18),"", MAX(Datum_Aanvang_IKV, F18))</f>
        <v/>
      </c>
      <c r="N18" s="151" t="str">
        <f t="shared" ref="N18:N30" si="5">IF(OR(MAX(Datum_Aanvang_IKV, F18)&gt;G18, MIN(Datum_Einde_IKV, G18)&lt;F18),"", MIN(Datum_Einde_IKV, G18))</f>
        <v/>
      </c>
      <c r="O18" s="150" t="str">
        <f>IF(M18="","",N18-M18+1)</f>
        <v/>
      </c>
      <c r="P18" s="153" t="str">
        <f t="shared" ref="P18:P30" si="6">IF(M18="", "",  O18 / (G18-F18+1))</f>
        <v/>
      </c>
      <c r="Q18" s="154" t="str">
        <f t="shared" ref="Q18:Q30" si="7">IF(M18="","",P18/IF(Verloningsperiodiciteit= "Maandelijks",12,13))</f>
        <v/>
      </c>
      <c r="R18" s="155" t="str">
        <f t="shared" ref="R18:R30" si="8">IF(M18="","",L18*52/IF(Verloningsperiodiciteit="Maandelijks",12,13)*P18)</f>
        <v/>
      </c>
      <c r="S18" s="156" t="str">
        <f t="shared" ref="S18:S30" si="9">IF(M18="","",MIN(K18+IF(AND(D18&lt;&gt;1, S17&lt;&gt;""),S17,0)))</f>
        <v/>
      </c>
      <c r="T18" s="157" t="str">
        <f t="shared" ref="T18:T30" si="10">IF(M18="","",J18+IF(AND(D18&lt;&gt;1, T17&lt;&gt;""),T17,0))</f>
        <v/>
      </c>
      <c r="U18" s="157" t="str">
        <f t="shared" ref="U18:U30" si="11">IF(M18="","",R18+IF(AND(D18&lt;&gt;1, U17&lt;&gt;""),U17,0))</f>
        <v/>
      </c>
      <c r="V18" s="158">
        <f>IF(M18="",0,T18/U18)</f>
        <v>0</v>
      </c>
      <c r="W18" s="159" t="str">
        <f>IF(M18="","",VLOOKUP($B$6,rekenwaarden!M$8:N$12,2))</f>
        <v/>
      </c>
      <c r="X18" s="160" t="str">
        <f t="shared" ref="X18:X30" si="12">IF(M18="","",W18*J18)</f>
        <v/>
      </c>
      <c r="Y18" s="160" t="str">
        <f t="shared" ref="Y18:Y30" si="13">IF(M18="","",X18+IF(AND(D18&lt;&gt;1, Y17&lt;&gt;""),Y17,0))</f>
        <v/>
      </c>
      <c r="Z18" s="160" t="str">
        <f>IF(M18="","", VLOOKUP(B$6,rekenwaarden!M$8:T$12,3)*Q18)</f>
        <v/>
      </c>
      <c r="AA18" s="160" t="str">
        <f t="shared" ref="AA18:AA30" si="14">IF(M18="","",Z18+IF(AND(D18&lt;&gt;1, AA17&lt;&gt;""),AA17,0))</f>
        <v/>
      </c>
      <c r="AB18" s="160" t="str">
        <f>IF(M18="","", VLOOKUP($B$6,rekenwaarden!M$8:T$12,4)*Q18)</f>
        <v/>
      </c>
      <c r="AC18" s="160" t="str">
        <f t="shared" ref="AC18:AC30" si="15">IF(M18="","",AB18+IF(AND(D18&lt;&gt;1, AC17&lt;&gt;""),AC17,0))</f>
        <v/>
      </c>
      <c r="AD18" s="160" t="str">
        <f t="shared" ref="AD18:AD30" si="16">IF(M18="", "", MAX(MIN(S18, AA18*MIN(1, V18))-Y18, 0))</f>
        <v/>
      </c>
      <c r="AE18" s="160" t="str">
        <f t="shared" ref="AE18:AE30" si="17">IF(M18="","",AD18-IF(AND(D18&lt;&gt;1, AD17&lt;&gt;""),AD17,0))</f>
        <v/>
      </c>
      <c r="AF18" s="160" t="str">
        <f>IF(OR($B$8="ONWAAR", M18=""), "", MAX(MIN(S18, AC18*MIN(1, V18))-AA18*MIN(1, V18), 0))</f>
        <v/>
      </c>
      <c r="AG18" s="160" t="str">
        <f t="shared" ref="AG18:AG30" si="18">IF(OR(M18="", AF18=""),"",AF18-IF(AND(D18&lt;&gt;1, AF17&lt;&gt;""),AF17,0))</f>
        <v/>
      </c>
      <c r="AH18" s="161" t="str">
        <f t="shared" ref="AH18:AH30" ca="1" si="19">IF($M18="", "", AE18*INDIRECT(CONCATENATE("premiepct", YEAR(F18))))</f>
        <v/>
      </c>
      <c r="AI18" s="161" t="str">
        <f ca="1">IF(OR($F$4=FALSE, M18=""), "", AG18*INDIRECT(CONCATENATE("premiepct", YEAR($F18))))</f>
        <v/>
      </c>
      <c r="AJ18" s="161"/>
      <c r="AK18" s="161"/>
      <c r="AL18" s="164" t="str">
        <f>IF(M18="","",SUM(AH18:AK18))</f>
        <v/>
      </c>
    </row>
    <row r="19" spans="1:38" s="113" customFormat="1" ht="15.65" customHeight="1" x14ac:dyDescent="0.25">
      <c r="A19" s="127"/>
      <c r="B19" s="126"/>
      <c r="C19" s="200"/>
      <c r="D19" s="163" t="str">
        <f t="shared" ref="D19:G30" si="20">D3</f>
        <v/>
      </c>
      <c r="E19" s="150" t="str">
        <f t="shared" si="20"/>
        <v/>
      </c>
      <c r="F19" s="151" t="str">
        <f t="shared" si="20"/>
        <v/>
      </c>
      <c r="G19" s="151" t="str">
        <f t="shared" si="20"/>
        <v/>
      </c>
      <c r="H19" s="189" t="str">
        <f t="shared" si="1"/>
        <v/>
      </c>
      <c r="I19" s="192" t="str">
        <f t="shared" si="2"/>
        <v/>
      </c>
      <c r="J19" s="189" t="str">
        <f>IF($E19="","",IF($E20="",SUM(H19:H$30),H19))</f>
        <v/>
      </c>
      <c r="K19" s="192" t="str">
        <f>IF($E19="","",IF($E20="",SUM(I19:I$30),I19))</f>
        <v/>
      </c>
      <c r="L19" s="152" t="str">
        <f t="shared" si="3"/>
        <v/>
      </c>
      <c r="M19" s="151" t="str">
        <f t="shared" si="4"/>
        <v/>
      </c>
      <c r="N19" s="151" t="str">
        <f t="shared" si="5"/>
        <v/>
      </c>
      <c r="O19" s="150" t="str">
        <f t="shared" ref="O19:O30" si="21">IF(M19="","",N19-M19+1)</f>
        <v/>
      </c>
      <c r="P19" s="153" t="str">
        <f t="shared" si="6"/>
        <v/>
      </c>
      <c r="Q19" s="154" t="str">
        <f t="shared" si="7"/>
        <v/>
      </c>
      <c r="R19" s="155" t="str">
        <f t="shared" si="8"/>
        <v/>
      </c>
      <c r="S19" s="156" t="str">
        <f t="shared" si="9"/>
        <v/>
      </c>
      <c r="T19" s="157" t="str">
        <f t="shared" si="10"/>
        <v/>
      </c>
      <c r="U19" s="157" t="str">
        <f t="shared" si="11"/>
        <v/>
      </c>
      <c r="V19" s="158" t="str">
        <f t="shared" ref="V19:V30" si="22">IF(M19="","",T19/U19)</f>
        <v/>
      </c>
      <c r="W19" s="159" t="str">
        <f>IF(M19="","",VLOOKUP($B$6,rekenwaarden!M$8:N$12,2))</f>
        <v/>
      </c>
      <c r="X19" s="160" t="str">
        <f t="shared" si="12"/>
        <v/>
      </c>
      <c r="Y19" s="160" t="str">
        <f t="shared" si="13"/>
        <v/>
      </c>
      <c r="Z19" s="160" t="str">
        <f>IF(M19="","", VLOOKUP(B$6,rekenwaarden!M$8:T$12,3)*Q19)</f>
        <v/>
      </c>
      <c r="AA19" s="160" t="str">
        <f t="shared" si="14"/>
        <v/>
      </c>
      <c r="AB19" s="160" t="str">
        <f>IF(M19="","", VLOOKUP($B$6,rekenwaarden!M$8:T$12,4)*Q19)</f>
        <v/>
      </c>
      <c r="AC19" s="160" t="str">
        <f t="shared" si="15"/>
        <v/>
      </c>
      <c r="AD19" s="160" t="str">
        <f t="shared" si="16"/>
        <v/>
      </c>
      <c r="AE19" s="160" t="str">
        <f t="shared" si="17"/>
        <v/>
      </c>
      <c r="AF19" s="160" t="str">
        <f t="shared" ref="AF19:AF30" si="23">IF(OR($B$8="ONWAAR", M19=""), "", MAX(MIN(S19, AC19*MIN(1, V19))-AA19*MIN(1, V19), 0))</f>
        <v/>
      </c>
      <c r="AG19" s="160" t="str">
        <f t="shared" si="18"/>
        <v/>
      </c>
      <c r="AH19" s="161" t="str">
        <f t="shared" ca="1" si="19"/>
        <v/>
      </c>
      <c r="AI19" s="161" t="str">
        <f t="shared" ref="AI19:AI30" ca="1" si="24">IF(OR($F$4=FALSE, M19=""), "", AG19*INDIRECT(CONCATENATE("premiepct", YEAR($F19))))</f>
        <v/>
      </c>
      <c r="AJ19" s="161"/>
      <c r="AK19" s="161"/>
      <c r="AL19" s="164" t="str">
        <f t="shared" ref="AL19:AL30" si="25">IF(M19="","",SUM(AH19:AK19))</f>
        <v/>
      </c>
    </row>
    <row r="20" spans="1:38" s="113" customFormat="1" ht="15.65" customHeight="1" x14ac:dyDescent="0.25">
      <c r="A20" s="125"/>
      <c r="B20" s="126"/>
      <c r="C20" s="200"/>
      <c r="D20" s="163" t="str">
        <f t="shared" si="20"/>
        <v/>
      </c>
      <c r="E20" s="150" t="str">
        <f t="shared" si="20"/>
        <v/>
      </c>
      <c r="F20" s="151" t="str">
        <f t="shared" si="20"/>
        <v/>
      </c>
      <c r="G20" s="151" t="str">
        <f t="shared" si="20"/>
        <v/>
      </c>
      <c r="H20" s="188" t="str">
        <f t="shared" si="1"/>
        <v/>
      </c>
      <c r="I20" s="191" t="str">
        <f t="shared" si="2"/>
        <v/>
      </c>
      <c r="J20" s="188" t="str">
        <f>IF($E20="","",IF($E21="",SUM(H20:H$30),H20))</f>
        <v/>
      </c>
      <c r="K20" s="191" t="str">
        <f>IF($E20="","",IF($E21="",SUM(I20:I$30),I20))</f>
        <v/>
      </c>
      <c r="L20" s="152" t="str">
        <f t="shared" si="3"/>
        <v/>
      </c>
      <c r="M20" s="151" t="str">
        <f t="shared" si="4"/>
        <v/>
      </c>
      <c r="N20" s="151" t="str">
        <f t="shared" si="5"/>
        <v/>
      </c>
      <c r="O20" s="150" t="str">
        <f t="shared" si="21"/>
        <v/>
      </c>
      <c r="P20" s="153" t="str">
        <f t="shared" si="6"/>
        <v/>
      </c>
      <c r="Q20" s="154" t="str">
        <f t="shared" si="7"/>
        <v/>
      </c>
      <c r="R20" s="155" t="str">
        <f t="shared" si="8"/>
        <v/>
      </c>
      <c r="S20" s="156" t="str">
        <f t="shared" si="9"/>
        <v/>
      </c>
      <c r="T20" s="157" t="str">
        <f t="shared" si="10"/>
        <v/>
      </c>
      <c r="U20" s="157" t="str">
        <f t="shared" si="11"/>
        <v/>
      </c>
      <c r="V20" s="158" t="str">
        <f t="shared" si="22"/>
        <v/>
      </c>
      <c r="W20" s="159" t="str">
        <f>IF(M20="","",VLOOKUP($B$6,rekenwaarden!M$8:N$12,2))</f>
        <v/>
      </c>
      <c r="X20" s="160" t="str">
        <f t="shared" si="12"/>
        <v/>
      </c>
      <c r="Y20" s="160" t="str">
        <f t="shared" si="13"/>
        <v/>
      </c>
      <c r="Z20" s="160" t="str">
        <f>IF(M20="","", VLOOKUP(B$6,rekenwaarden!M$8:T$12,3)*Q20)</f>
        <v/>
      </c>
      <c r="AA20" s="160" t="str">
        <f t="shared" si="14"/>
        <v/>
      </c>
      <c r="AB20" s="160" t="str">
        <f>IF(M20="","", VLOOKUP($B$6,rekenwaarden!M$8:T$12,4)*Q20)</f>
        <v/>
      </c>
      <c r="AC20" s="160" t="str">
        <f t="shared" si="15"/>
        <v/>
      </c>
      <c r="AD20" s="160" t="str">
        <f t="shared" si="16"/>
        <v/>
      </c>
      <c r="AE20" s="160" t="str">
        <f t="shared" si="17"/>
        <v/>
      </c>
      <c r="AF20" s="160" t="str">
        <f t="shared" si="23"/>
        <v/>
      </c>
      <c r="AG20" s="160" t="str">
        <f t="shared" si="18"/>
        <v/>
      </c>
      <c r="AH20" s="161" t="str">
        <f t="shared" ca="1" si="19"/>
        <v/>
      </c>
      <c r="AI20" s="161" t="str">
        <f t="shared" ca="1" si="24"/>
        <v/>
      </c>
      <c r="AJ20" s="161"/>
      <c r="AK20" s="161"/>
      <c r="AL20" s="164" t="str">
        <f t="shared" si="25"/>
        <v/>
      </c>
    </row>
    <row r="21" spans="1:38" s="113" customFormat="1" ht="15.65" customHeight="1" x14ac:dyDescent="0.25">
      <c r="A21" s="125"/>
      <c r="B21" s="126"/>
      <c r="C21" s="200"/>
      <c r="D21" s="163" t="str">
        <f t="shared" si="20"/>
        <v/>
      </c>
      <c r="E21" s="150" t="str">
        <f t="shared" si="20"/>
        <v/>
      </c>
      <c r="F21" s="151" t="str">
        <f t="shared" si="20"/>
        <v/>
      </c>
      <c r="G21" s="151" t="str">
        <f t="shared" si="20"/>
        <v/>
      </c>
      <c r="H21" s="189" t="str">
        <f t="shared" si="1"/>
        <v/>
      </c>
      <c r="I21" s="192" t="str">
        <f t="shared" si="2"/>
        <v/>
      </c>
      <c r="J21" s="189" t="str">
        <f>IF($E21="","",IF($E22="",SUM(H21:H$30),H21))</f>
        <v/>
      </c>
      <c r="K21" s="192" t="str">
        <f>IF($E21="","",IF($E22="",SUM(I21:I$30),I21))</f>
        <v/>
      </c>
      <c r="L21" s="152" t="str">
        <f t="shared" si="3"/>
        <v/>
      </c>
      <c r="M21" s="151" t="str">
        <f t="shared" si="4"/>
        <v/>
      </c>
      <c r="N21" s="151" t="str">
        <f t="shared" si="5"/>
        <v/>
      </c>
      <c r="O21" s="150" t="str">
        <f t="shared" si="21"/>
        <v/>
      </c>
      <c r="P21" s="153" t="str">
        <f t="shared" si="6"/>
        <v/>
      </c>
      <c r="Q21" s="154" t="str">
        <f t="shared" si="7"/>
        <v/>
      </c>
      <c r="R21" s="155" t="str">
        <f t="shared" si="8"/>
        <v/>
      </c>
      <c r="S21" s="156" t="str">
        <f t="shared" si="9"/>
        <v/>
      </c>
      <c r="T21" s="157" t="str">
        <f t="shared" si="10"/>
        <v/>
      </c>
      <c r="U21" s="157" t="str">
        <f t="shared" si="11"/>
        <v/>
      </c>
      <c r="V21" s="158" t="str">
        <f t="shared" si="22"/>
        <v/>
      </c>
      <c r="W21" s="159" t="str">
        <f>IF(M21="","",VLOOKUP($B$6,rekenwaarden!M$8:N$12,2))</f>
        <v/>
      </c>
      <c r="X21" s="160" t="str">
        <f t="shared" si="12"/>
        <v/>
      </c>
      <c r="Y21" s="160" t="str">
        <f t="shared" si="13"/>
        <v/>
      </c>
      <c r="Z21" s="160" t="str">
        <f>IF(M21="","", VLOOKUP(B$6,rekenwaarden!M$8:T$12,3)*Q21)</f>
        <v/>
      </c>
      <c r="AA21" s="160" t="str">
        <f t="shared" si="14"/>
        <v/>
      </c>
      <c r="AB21" s="160" t="str">
        <f>IF(M21="","", VLOOKUP($B$6,rekenwaarden!M$8:T$12,4)*Q21)</f>
        <v/>
      </c>
      <c r="AC21" s="160" t="str">
        <f t="shared" si="15"/>
        <v/>
      </c>
      <c r="AD21" s="160" t="str">
        <f t="shared" si="16"/>
        <v/>
      </c>
      <c r="AE21" s="160" t="str">
        <f t="shared" si="17"/>
        <v/>
      </c>
      <c r="AF21" s="160" t="str">
        <f t="shared" si="23"/>
        <v/>
      </c>
      <c r="AG21" s="160" t="str">
        <f t="shared" si="18"/>
        <v/>
      </c>
      <c r="AH21" s="161" t="str">
        <f t="shared" ca="1" si="19"/>
        <v/>
      </c>
      <c r="AI21" s="161" t="str">
        <f t="shared" ca="1" si="24"/>
        <v/>
      </c>
      <c r="AJ21" s="161"/>
      <c r="AK21" s="161"/>
      <c r="AL21" s="164" t="str">
        <f t="shared" si="25"/>
        <v/>
      </c>
    </row>
    <row r="22" spans="1:38" s="113" customFormat="1" ht="15.65" customHeight="1" x14ac:dyDescent="0.25">
      <c r="A22" s="125"/>
      <c r="B22" s="126"/>
      <c r="C22" s="200"/>
      <c r="D22" s="163" t="str">
        <f t="shared" si="20"/>
        <v/>
      </c>
      <c r="E22" s="150" t="str">
        <f t="shared" si="20"/>
        <v/>
      </c>
      <c r="F22" s="151" t="str">
        <f t="shared" si="20"/>
        <v/>
      </c>
      <c r="G22" s="151" t="str">
        <f t="shared" si="20"/>
        <v/>
      </c>
      <c r="H22" s="188" t="str">
        <f t="shared" si="1"/>
        <v/>
      </c>
      <c r="I22" s="191" t="str">
        <f t="shared" si="2"/>
        <v/>
      </c>
      <c r="J22" s="188" t="str">
        <f>IF($E22="","",IF($E23="",SUM(H22:H$30),H22))</f>
        <v/>
      </c>
      <c r="K22" s="191" t="str">
        <f>IF($E22="","",IF($E23="",SUM(I22:I$30),I22))</f>
        <v/>
      </c>
      <c r="L22" s="152" t="str">
        <f t="shared" si="3"/>
        <v/>
      </c>
      <c r="M22" s="151" t="str">
        <f t="shared" si="4"/>
        <v/>
      </c>
      <c r="N22" s="151" t="str">
        <f t="shared" si="5"/>
        <v/>
      </c>
      <c r="O22" s="150" t="str">
        <f t="shared" si="21"/>
        <v/>
      </c>
      <c r="P22" s="153" t="str">
        <f t="shared" si="6"/>
        <v/>
      </c>
      <c r="Q22" s="154" t="str">
        <f t="shared" si="7"/>
        <v/>
      </c>
      <c r="R22" s="155" t="str">
        <f t="shared" si="8"/>
        <v/>
      </c>
      <c r="S22" s="156" t="str">
        <f t="shared" si="9"/>
        <v/>
      </c>
      <c r="T22" s="157" t="str">
        <f t="shared" si="10"/>
        <v/>
      </c>
      <c r="U22" s="157" t="str">
        <f t="shared" si="11"/>
        <v/>
      </c>
      <c r="V22" s="158" t="str">
        <f t="shared" si="22"/>
        <v/>
      </c>
      <c r="W22" s="159" t="str">
        <f>IF(M22="","",VLOOKUP($B$6,rekenwaarden!M$8:N$12,2))</f>
        <v/>
      </c>
      <c r="X22" s="160" t="str">
        <f t="shared" si="12"/>
        <v/>
      </c>
      <c r="Y22" s="160" t="str">
        <f t="shared" si="13"/>
        <v/>
      </c>
      <c r="Z22" s="160" t="str">
        <f>IF(M22="","", VLOOKUP(B$6,rekenwaarden!M$8:T$12,3)*Q22)</f>
        <v/>
      </c>
      <c r="AA22" s="160" t="str">
        <f t="shared" si="14"/>
        <v/>
      </c>
      <c r="AB22" s="160" t="str">
        <f>IF(M22="","", VLOOKUP($B$6,rekenwaarden!M$8:T$12,4)*Q22)</f>
        <v/>
      </c>
      <c r="AC22" s="160" t="str">
        <f t="shared" si="15"/>
        <v/>
      </c>
      <c r="AD22" s="160" t="str">
        <f t="shared" si="16"/>
        <v/>
      </c>
      <c r="AE22" s="160" t="str">
        <f t="shared" si="17"/>
        <v/>
      </c>
      <c r="AF22" s="160" t="str">
        <f t="shared" si="23"/>
        <v/>
      </c>
      <c r="AG22" s="160" t="str">
        <f t="shared" si="18"/>
        <v/>
      </c>
      <c r="AH22" s="161" t="str">
        <f t="shared" ca="1" si="19"/>
        <v/>
      </c>
      <c r="AI22" s="161" t="str">
        <f t="shared" ca="1" si="24"/>
        <v/>
      </c>
      <c r="AJ22" s="161"/>
      <c r="AK22" s="161"/>
      <c r="AL22" s="164" t="str">
        <f t="shared" si="25"/>
        <v/>
      </c>
    </row>
    <row r="23" spans="1:38" s="113" customFormat="1" ht="15.65" customHeight="1" x14ac:dyDescent="0.25">
      <c r="A23" s="125"/>
      <c r="B23" s="126"/>
      <c r="C23" s="200"/>
      <c r="D23" s="163" t="str">
        <f t="shared" si="20"/>
        <v/>
      </c>
      <c r="E23" s="150" t="str">
        <f t="shared" si="20"/>
        <v/>
      </c>
      <c r="F23" s="151" t="str">
        <f t="shared" si="20"/>
        <v/>
      </c>
      <c r="G23" s="151" t="str">
        <f t="shared" si="20"/>
        <v/>
      </c>
      <c r="H23" s="189" t="str">
        <f t="shared" si="1"/>
        <v/>
      </c>
      <c r="I23" s="192" t="str">
        <f t="shared" si="2"/>
        <v/>
      </c>
      <c r="J23" s="189" t="str">
        <f>IF($E23="","",IF($E24="",SUM(H23:H$30),H23))</f>
        <v/>
      </c>
      <c r="K23" s="192" t="str">
        <f>IF($E23="","",IF($E24="",SUM(I23:I$30),I23))</f>
        <v/>
      </c>
      <c r="L23" s="152" t="str">
        <f t="shared" si="3"/>
        <v/>
      </c>
      <c r="M23" s="151" t="str">
        <f t="shared" si="4"/>
        <v/>
      </c>
      <c r="N23" s="151" t="str">
        <f t="shared" si="5"/>
        <v/>
      </c>
      <c r="O23" s="150" t="str">
        <f t="shared" si="21"/>
        <v/>
      </c>
      <c r="P23" s="153" t="str">
        <f t="shared" si="6"/>
        <v/>
      </c>
      <c r="Q23" s="154" t="str">
        <f t="shared" si="7"/>
        <v/>
      </c>
      <c r="R23" s="155" t="str">
        <f t="shared" si="8"/>
        <v/>
      </c>
      <c r="S23" s="156" t="str">
        <f t="shared" si="9"/>
        <v/>
      </c>
      <c r="T23" s="157" t="str">
        <f t="shared" si="10"/>
        <v/>
      </c>
      <c r="U23" s="157" t="str">
        <f t="shared" si="11"/>
        <v/>
      </c>
      <c r="V23" s="158" t="str">
        <f t="shared" si="22"/>
        <v/>
      </c>
      <c r="W23" s="159" t="str">
        <f>IF(M23="","",VLOOKUP($B$6,rekenwaarden!M$8:N$12,2))</f>
        <v/>
      </c>
      <c r="X23" s="160" t="str">
        <f t="shared" si="12"/>
        <v/>
      </c>
      <c r="Y23" s="160" t="str">
        <f t="shared" si="13"/>
        <v/>
      </c>
      <c r="Z23" s="160" t="str">
        <f>IF(M23="","", VLOOKUP(B$6,rekenwaarden!M$8:T$12,3)*Q23)</f>
        <v/>
      </c>
      <c r="AA23" s="160" t="str">
        <f t="shared" si="14"/>
        <v/>
      </c>
      <c r="AB23" s="160" t="str">
        <f>IF(M23="","", VLOOKUP($B$6,rekenwaarden!M$8:T$12,4)*Q23)</f>
        <v/>
      </c>
      <c r="AC23" s="160" t="str">
        <f t="shared" si="15"/>
        <v/>
      </c>
      <c r="AD23" s="160" t="str">
        <f t="shared" si="16"/>
        <v/>
      </c>
      <c r="AE23" s="160" t="str">
        <f t="shared" si="17"/>
        <v/>
      </c>
      <c r="AF23" s="160" t="str">
        <f t="shared" si="23"/>
        <v/>
      </c>
      <c r="AG23" s="160" t="str">
        <f t="shared" si="18"/>
        <v/>
      </c>
      <c r="AH23" s="161" t="str">
        <f t="shared" ca="1" si="19"/>
        <v/>
      </c>
      <c r="AI23" s="161" t="str">
        <f t="shared" ca="1" si="24"/>
        <v/>
      </c>
      <c r="AJ23" s="161"/>
      <c r="AK23" s="161"/>
      <c r="AL23" s="164" t="str">
        <f t="shared" si="25"/>
        <v/>
      </c>
    </row>
    <row r="24" spans="1:38" s="113" customFormat="1" ht="15.65" customHeight="1" x14ac:dyDescent="0.25">
      <c r="A24" s="125"/>
      <c r="B24" s="126"/>
      <c r="C24" s="200"/>
      <c r="D24" s="163" t="str">
        <f t="shared" si="20"/>
        <v/>
      </c>
      <c r="E24" s="150" t="str">
        <f t="shared" si="20"/>
        <v/>
      </c>
      <c r="F24" s="151" t="str">
        <f t="shared" si="20"/>
        <v/>
      </c>
      <c r="G24" s="151" t="str">
        <f t="shared" si="20"/>
        <v/>
      </c>
      <c r="H24" s="188" t="str">
        <f t="shared" si="1"/>
        <v/>
      </c>
      <c r="I24" s="191" t="str">
        <f t="shared" si="2"/>
        <v/>
      </c>
      <c r="J24" s="188" t="str">
        <f>IF($E24="","",IF($E25="",SUM(H24:H$30),H24))</f>
        <v/>
      </c>
      <c r="K24" s="191" t="str">
        <f>IF($E24="","",IF($E25="",SUM(I24:I$30),I24))</f>
        <v/>
      </c>
      <c r="L24" s="152" t="str">
        <f t="shared" si="3"/>
        <v/>
      </c>
      <c r="M24" s="151" t="str">
        <f t="shared" si="4"/>
        <v/>
      </c>
      <c r="N24" s="151" t="str">
        <f t="shared" si="5"/>
        <v/>
      </c>
      <c r="O24" s="150" t="str">
        <f t="shared" si="21"/>
        <v/>
      </c>
      <c r="P24" s="153" t="str">
        <f t="shared" si="6"/>
        <v/>
      </c>
      <c r="Q24" s="154" t="str">
        <f t="shared" si="7"/>
        <v/>
      </c>
      <c r="R24" s="155" t="str">
        <f t="shared" si="8"/>
        <v/>
      </c>
      <c r="S24" s="156" t="str">
        <f t="shared" si="9"/>
        <v/>
      </c>
      <c r="T24" s="157" t="str">
        <f t="shared" si="10"/>
        <v/>
      </c>
      <c r="U24" s="157" t="str">
        <f t="shared" si="11"/>
        <v/>
      </c>
      <c r="V24" s="158" t="str">
        <f t="shared" si="22"/>
        <v/>
      </c>
      <c r="W24" s="159" t="str">
        <f>IF(M24="","",VLOOKUP($B$6,rekenwaarden!M$8:N$12,2))</f>
        <v/>
      </c>
      <c r="X24" s="160" t="str">
        <f t="shared" si="12"/>
        <v/>
      </c>
      <c r="Y24" s="160" t="str">
        <f t="shared" si="13"/>
        <v/>
      </c>
      <c r="Z24" s="160" t="str">
        <f>IF(M24="","", VLOOKUP(B$6,rekenwaarden!M$8:T$12,3)*Q24)</f>
        <v/>
      </c>
      <c r="AA24" s="160" t="str">
        <f t="shared" si="14"/>
        <v/>
      </c>
      <c r="AB24" s="160" t="str">
        <f>IF(M24="","", VLOOKUP($B$6,rekenwaarden!M$8:T$12,4)*Q24)</f>
        <v/>
      </c>
      <c r="AC24" s="160" t="str">
        <f t="shared" si="15"/>
        <v/>
      </c>
      <c r="AD24" s="160" t="str">
        <f t="shared" si="16"/>
        <v/>
      </c>
      <c r="AE24" s="160" t="str">
        <f t="shared" si="17"/>
        <v/>
      </c>
      <c r="AF24" s="160" t="str">
        <f t="shared" si="23"/>
        <v/>
      </c>
      <c r="AG24" s="160" t="str">
        <f t="shared" si="18"/>
        <v/>
      </c>
      <c r="AH24" s="161" t="str">
        <f t="shared" ca="1" si="19"/>
        <v/>
      </c>
      <c r="AI24" s="161" t="str">
        <f t="shared" ca="1" si="24"/>
        <v/>
      </c>
      <c r="AJ24" s="161"/>
      <c r="AK24" s="161"/>
      <c r="AL24" s="164" t="str">
        <f t="shared" si="25"/>
        <v/>
      </c>
    </row>
    <row r="25" spans="1:38" s="113" customFormat="1" ht="15.65" customHeight="1" x14ac:dyDescent="0.25">
      <c r="A25" s="125"/>
      <c r="B25" s="126"/>
      <c r="C25" s="200"/>
      <c r="D25" s="163" t="str">
        <f t="shared" si="20"/>
        <v/>
      </c>
      <c r="E25" s="150" t="str">
        <f t="shared" si="20"/>
        <v/>
      </c>
      <c r="F25" s="151" t="str">
        <f t="shared" si="20"/>
        <v/>
      </c>
      <c r="G25" s="151" t="str">
        <f t="shared" si="20"/>
        <v/>
      </c>
      <c r="H25" s="189" t="str">
        <f t="shared" si="1"/>
        <v/>
      </c>
      <c r="I25" s="192" t="str">
        <f t="shared" si="2"/>
        <v/>
      </c>
      <c r="J25" s="189" t="str">
        <f>IF($E25="","",IF($E26="",SUM(H25:H$30),H25))</f>
        <v/>
      </c>
      <c r="K25" s="192" t="str">
        <f>IF($E25="","",IF($E26="",SUM(I25:I$30),I25))</f>
        <v/>
      </c>
      <c r="L25" s="152" t="str">
        <f t="shared" si="3"/>
        <v/>
      </c>
      <c r="M25" s="151" t="str">
        <f t="shared" si="4"/>
        <v/>
      </c>
      <c r="N25" s="151" t="str">
        <f t="shared" si="5"/>
        <v/>
      </c>
      <c r="O25" s="150" t="str">
        <f t="shared" si="21"/>
        <v/>
      </c>
      <c r="P25" s="153" t="str">
        <f t="shared" si="6"/>
        <v/>
      </c>
      <c r="Q25" s="154" t="str">
        <f t="shared" si="7"/>
        <v/>
      </c>
      <c r="R25" s="155" t="str">
        <f t="shared" si="8"/>
        <v/>
      </c>
      <c r="S25" s="156" t="str">
        <f t="shared" si="9"/>
        <v/>
      </c>
      <c r="T25" s="157" t="str">
        <f t="shared" si="10"/>
        <v/>
      </c>
      <c r="U25" s="157" t="str">
        <f t="shared" si="11"/>
        <v/>
      </c>
      <c r="V25" s="158" t="str">
        <f t="shared" si="22"/>
        <v/>
      </c>
      <c r="W25" s="159" t="str">
        <f>IF(M25="","",VLOOKUP($B$6,rekenwaarden!M$8:N$12,2))</f>
        <v/>
      </c>
      <c r="X25" s="160" t="str">
        <f t="shared" si="12"/>
        <v/>
      </c>
      <c r="Y25" s="160" t="str">
        <f t="shared" si="13"/>
        <v/>
      </c>
      <c r="Z25" s="160" t="str">
        <f>IF(M25="","", VLOOKUP(B$6,rekenwaarden!M$8:T$12,3)*Q25)</f>
        <v/>
      </c>
      <c r="AA25" s="160" t="str">
        <f t="shared" si="14"/>
        <v/>
      </c>
      <c r="AB25" s="160" t="str">
        <f>IF(M25="","", VLOOKUP($B$6,rekenwaarden!M$8:T$12,4)*Q25)</f>
        <v/>
      </c>
      <c r="AC25" s="160" t="str">
        <f t="shared" si="15"/>
        <v/>
      </c>
      <c r="AD25" s="160" t="str">
        <f t="shared" si="16"/>
        <v/>
      </c>
      <c r="AE25" s="160" t="str">
        <f t="shared" si="17"/>
        <v/>
      </c>
      <c r="AF25" s="160" t="str">
        <f t="shared" si="23"/>
        <v/>
      </c>
      <c r="AG25" s="160" t="str">
        <f t="shared" si="18"/>
        <v/>
      </c>
      <c r="AH25" s="161" t="str">
        <f t="shared" ca="1" si="19"/>
        <v/>
      </c>
      <c r="AI25" s="161" t="str">
        <f t="shared" ca="1" si="24"/>
        <v/>
      </c>
      <c r="AJ25" s="161"/>
      <c r="AK25" s="161"/>
      <c r="AL25" s="164" t="str">
        <f t="shared" si="25"/>
        <v/>
      </c>
    </row>
    <row r="26" spans="1:38" s="113" customFormat="1" ht="15.65" customHeight="1" x14ac:dyDescent="0.25">
      <c r="A26" s="125"/>
      <c r="B26" s="126"/>
      <c r="C26" s="200"/>
      <c r="D26" s="163" t="str">
        <f t="shared" si="20"/>
        <v/>
      </c>
      <c r="E26" s="150" t="str">
        <f t="shared" si="20"/>
        <v/>
      </c>
      <c r="F26" s="151" t="str">
        <f t="shared" si="20"/>
        <v/>
      </c>
      <c r="G26" s="151" t="str">
        <f t="shared" si="20"/>
        <v/>
      </c>
      <c r="H26" s="188" t="str">
        <f t="shared" si="1"/>
        <v/>
      </c>
      <c r="I26" s="191" t="str">
        <f t="shared" si="2"/>
        <v/>
      </c>
      <c r="J26" s="188" t="str">
        <f>IF($E26="","",IF($E27="",SUM(H26:H$30),H26))</f>
        <v/>
      </c>
      <c r="K26" s="191" t="str">
        <f>IF($E26="","",IF($E27="",SUM(I26:I$30),I26))</f>
        <v/>
      </c>
      <c r="L26" s="152" t="str">
        <f t="shared" si="3"/>
        <v/>
      </c>
      <c r="M26" s="151" t="str">
        <f t="shared" si="4"/>
        <v/>
      </c>
      <c r="N26" s="151" t="str">
        <f t="shared" si="5"/>
        <v/>
      </c>
      <c r="O26" s="150" t="str">
        <f t="shared" si="21"/>
        <v/>
      </c>
      <c r="P26" s="153" t="str">
        <f t="shared" si="6"/>
        <v/>
      </c>
      <c r="Q26" s="154" t="str">
        <f t="shared" si="7"/>
        <v/>
      </c>
      <c r="R26" s="155" t="str">
        <f t="shared" si="8"/>
        <v/>
      </c>
      <c r="S26" s="156" t="str">
        <f t="shared" si="9"/>
        <v/>
      </c>
      <c r="T26" s="157" t="str">
        <f t="shared" si="10"/>
        <v/>
      </c>
      <c r="U26" s="157" t="str">
        <f t="shared" si="11"/>
        <v/>
      </c>
      <c r="V26" s="158" t="str">
        <f t="shared" si="22"/>
        <v/>
      </c>
      <c r="W26" s="159" t="str">
        <f>IF(M26="","",VLOOKUP($B$6,rekenwaarden!M$8:N$12,2))</f>
        <v/>
      </c>
      <c r="X26" s="160" t="str">
        <f t="shared" si="12"/>
        <v/>
      </c>
      <c r="Y26" s="160" t="str">
        <f t="shared" si="13"/>
        <v/>
      </c>
      <c r="Z26" s="160" t="str">
        <f>IF(M26="","", VLOOKUP(B$6,rekenwaarden!M$8:T$12,3)*Q26)</f>
        <v/>
      </c>
      <c r="AA26" s="160" t="str">
        <f t="shared" si="14"/>
        <v/>
      </c>
      <c r="AB26" s="160" t="str">
        <f>IF(M26="","", VLOOKUP($B$6,rekenwaarden!M$8:T$12,4)*Q26)</f>
        <v/>
      </c>
      <c r="AC26" s="160" t="str">
        <f t="shared" si="15"/>
        <v/>
      </c>
      <c r="AD26" s="160" t="str">
        <f t="shared" si="16"/>
        <v/>
      </c>
      <c r="AE26" s="160" t="str">
        <f t="shared" si="17"/>
        <v/>
      </c>
      <c r="AF26" s="160" t="str">
        <f t="shared" si="23"/>
        <v/>
      </c>
      <c r="AG26" s="160" t="str">
        <f t="shared" si="18"/>
        <v/>
      </c>
      <c r="AH26" s="161" t="str">
        <f t="shared" ca="1" si="19"/>
        <v/>
      </c>
      <c r="AI26" s="161" t="str">
        <f t="shared" ca="1" si="24"/>
        <v/>
      </c>
      <c r="AJ26" s="161"/>
      <c r="AK26" s="161"/>
      <c r="AL26" s="164" t="str">
        <f t="shared" si="25"/>
        <v/>
      </c>
    </row>
    <row r="27" spans="1:38" s="113" customFormat="1" ht="15.65" customHeight="1" x14ac:dyDescent="0.25">
      <c r="A27" s="125"/>
      <c r="B27" s="126"/>
      <c r="C27" s="200"/>
      <c r="D27" s="163" t="str">
        <f t="shared" si="20"/>
        <v/>
      </c>
      <c r="E27" s="150" t="str">
        <f t="shared" si="20"/>
        <v/>
      </c>
      <c r="F27" s="151" t="str">
        <f t="shared" si="20"/>
        <v/>
      </c>
      <c r="G27" s="151" t="str">
        <f t="shared" si="20"/>
        <v/>
      </c>
      <c r="H27" s="189" t="str">
        <f t="shared" si="1"/>
        <v/>
      </c>
      <c r="I27" s="192" t="str">
        <f t="shared" si="2"/>
        <v/>
      </c>
      <c r="J27" s="189" t="str">
        <f>IF($E27="","",IF($E28="",SUM(H27:H$30),H27))</f>
        <v/>
      </c>
      <c r="K27" s="192" t="str">
        <f>IF($E27="","",IF($E28="",SUM(I27:I$30),I27))</f>
        <v/>
      </c>
      <c r="L27" s="152" t="str">
        <f t="shared" si="3"/>
        <v/>
      </c>
      <c r="M27" s="151" t="str">
        <f t="shared" si="4"/>
        <v/>
      </c>
      <c r="N27" s="151" t="str">
        <f t="shared" si="5"/>
        <v/>
      </c>
      <c r="O27" s="150" t="str">
        <f t="shared" si="21"/>
        <v/>
      </c>
      <c r="P27" s="153" t="str">
        <f t="shared" si="6"/>
        <v/>
      </c>
      <c r="Q27" s="154" t="str">
        <f t="shared" si="7"/>
        <v/>
      </c>
      <c r="R27" s="155" t="str">
        <f t="shared" si="8"/>
        <v/>
      </c>
      <c r="S27" s="156" t="str">
        <f t="shared" si="9"/>
        <v/>
      </c>
      <c r="T27" s="157" t="str">
        <f t="shared" si="10"/>
        <v/>
      </c>
      <c r="U27" s="157" t="str">
        <f t="shared" si="11"/>
        <v/>
      </c>
      <c r="V27" s="158" t="str">
        <f t="shared" si="22"/>
        <v/>
      </c>
      <c r="W27" s="159" t="str">
        <f>IF(M27="","",VLOOKUP($B$6,rekenwaarden!M$8:N$12,2))</f>
        <v/>
      </c>
      <c r="X27" s="160" t="str">
        <f t="shared" si="12"/>
        <v/>
      </c>
      <c r="Y27" s="160" t="str">
        <f t="shared" si="13"/>
        <v/>
      </c>
      <c r="Z27" s="160" t="str">
        <f>IF(M27="","", VLOOKUP(B$6,rekenwaarden!M$8:T$12,3)*Q27)</f>
        <v/>
      </c>
      <c r="AA27" s="160" t="str">
        <f t="shared" si="14"/>
        <v/>
      </c>
      <c r="AB27" s="160" t="str">
        <f>IF(M27="","", VLOOKUP($B$6,rekenwaarden!M$8:T$12,4)*Q27)</f>
        <v/>
      </c>
      <c r="AC27" s="160" t="str">
        <f t="shared" si="15"/>
        <v/>
      </c>
      <c r="AD27" s="160" t="str">
        <f t="shared" si="16"/>
        <v/>
      </c>
      <c r="AE27" s="160" t="str">
        <f t="shared" si="17"/>
        <v/>
      </c>
      <c r="AF27" s="160" t="str">
        <f t="shared" si="23"/>
        <v/>
      </c>
      <c r="AG27" s="160" t="str">
        <f t="shared" si="18"/>
        <v/>
      </c>
      <c r="AH27" s="161" t="str">
        <f t="shared" ca="1" si="19"/>
        <v/>
      </c>
      <c r="AI27" s="161" t="str">
        <f t="shared" ca="1" si="24"/>
        <v/>
      </c>
      <c r="AJ27" s="161"/>
      <c r="AK27" s="161"/>
      <c r="AL27" s="164" t="str">
        <f t="shared" si="25"/>
        <v/>
      </c>
    </row>
    <row r="28" spans="1:38" s="113" customFormat="1" ht="15.65" customHeight="1" x14ac:dyDescent="0.25">
      <c r="A28" s="125"/>
      <c r="B28" s="126"/>
      <c r="C28" s="200"/>
      <c r="D28" s="163" t="str">
        <f t="shared" si="20"/>
        <v/>
      </c>
      <c r="E28" s="150" t="str">
        <f t="shared" si="20"/>
        <v/>
      </c>
      <c r="F28" s="151" t="str">
        <f t="shared" si="20"/>
        <v/>
      </c>
      <c r="G28" s="151" t="str">
        <f t="shared" si="20"/>
        <v/>
      </c>
      <c r="H28" s="188" t="str">
        <f t="shared" si="1"/>
        <v/>
      </c>
      <c r="I28" s="191" t="str">
        <f t="shared" si="2"/>
        <v/>
      </c>
      <c r="J28" s="188" t="str">
        <f>IF($E28="","",IF($E29="",SUM(H28:H$30),H28))</f>
        <v/>
      </c>
      <c r="K28" s="191" t="str">
        <f>IF($E28="","",IF($E29="",SUM(I28:I$30),I28))</f>
        <v/>
      </c>
      <c r="L28" s="152" t="str">
        <f t="shared" si="3"/>
        <v/>
      </c>
      <c r="M28" s="151" t="str">
        <f t="shared" si="4"/>
        <v/>
      </c>
      <c r="N28" s="151" t="str">
        <f t="shared" si="5"/>
        <v/>
      </c>
      <c r="O28" s="150" t="str">
        <f t="shared" si="21"/>
        <v/>
      </c>
      <c r="P28" s="153" t="str">
        <f t="shared" si="6"/>
        <v/>
      </c>
      <c r="Q28" s="154" t="str">
        <f t="shared" si="7"/>
        <v/>
      </c>
      <c r="R28" s="155" t="str">
        <f t="shared" si="8"/>
        <v/>
      </c>
      <c r="S28" s="156" t="str">
        <f t="shared" si="9"/>
        <v/>
      </c>
      <c r="T28" s="157" t="str">
        <f t="shared" si="10"/>
        <v/>
      </c>
      <c r="U28" s="157" t="str">
        <f t="shared" si="11"/>
        <v/>
      </c>
      <c r="V28" s="158" t="str">
        <f t="shared" si="22"/>
        <v/>
      </c>
      <c r="W28" s="159" t="str">
        <f>IF(M28="","",VLOOKUP($B$6,rekenwaarden!M$8:N$12,2))</f>
        <v/>
      </c>
      <c r="X28" s="160" t="str">
        <f t="shared" si="12"/>
        <v/>
      </c>
      <c r="Y28" s="160" t="str">
        <f t="shared" si="13"/>
        <v/>
      </c>
      <c r="Z28" s="160" t="str">
        <f>IF(M28="","", VLOOKUP(B$6,rekenwaarden!M$8:T$12,3)*Q28)</f>
        <v/>
      </c>
      <c r="AA28" s="160" t="str">
        <f t="shared" si="14"/>
        <v/>
      </c>
      <c r="AB28" s="160" t="str">
        <f>IF(M28="","", VLOOKUP($B$6,rekenwaarden!M$8:T$12,4)*Q28)</f>
        <v/>
      </c>
      <c r="AC28" s="160" t="str">
        <f t="shared" si="15"/>
        <v/>
      </c>
      <c r="AD28" s="160" t="str">
        <f t="shared" si="16"/>
        <v/>
      </c>
      <c r="AE28" s="160" t="str">
        <f t="shared" si="17"/>
        <v/>
      </c>
      <c r="AF28" s="160" t="str">
        <f t="shared" si="23"/>
        <v/>
      </c>
      <c r="AG28" s="160" t="str">
        <f t="shared" si="18"/>
        <v/>
      </c>
      <c r="AH28" s="161" t="str">
        <f t="shared" ca="1" si="19"/>
        <v/>
      </c>
      <c r="AI28" s="161" t="str">
        <f t="shared" ca="1" si="24"/>
        <v/>
      </c>
      <c r="AJ28" s="161"/>
      <c r="AK28" s="161"/>
      <c r="AL28" s="164" t="str">
        <f t="shared" si="25"/>
        <v/>
      </c>
    </row>
    <row r="29" spans="1:38" s="113" customFormat="1" ht="15.65" customHeight="1" x14ac:dyDescent="0.25">
      <c r="A29" s="125"/>
      <c r="B29" s="126"/>
      <c r="C29" s="200"/>
      <c r="D29" s="163" t="str">
        <f t="shared" si="20"/>
        <v/>
      </c>
      <c r="E29" s="150" t="str">
        <f t="shared" si="20"/>
        <v/>
      </c>
      <c r="F29" s="151" t="str">
        <f t="shared" si="20"/>
        <v/>
      </c>
      <c r="G29" s="151" t="str">
        <f t="shared" si="20"/>
        <v/>
      </c>
      <c r="H29" s="189" t="str">
        <f t="shared" si="1"/>
        <v/>
      </c>
      <c r="I29" s="192" t="str">
        <f t="shared" si="2"/>
        <v/>
      </c>
      <c r="J29" s="189" t="str">
        <f>IF($E29="","",IF($E30="",SUM(H29:H$30),H29))</f>
        <v/>
      </c>
      <c r="K29" s="192" t="str">
        <f>IF($E29="","",IF($E30="",SUM(I29:I$30),I29))</f>
        <v/>
      </c>
      <c r="L29" s="152" t="str">
        <f t="shared" si="3"/>
        <v/>
      </c>
      <c r="M29" s="151" t="str">
        <f t="shared" si="4"/>
        <v/>
      </c>
      <c r="N29" s="151" t="str">
        <f t="shared" si="5"/>
        <v/>
      </c>
      <c r="O29" s="150" t="str">
        <f t="shared" si="21"/>
        <v/>
      </c>
      <c r="P29" s="153" t="str">
        <f t="shared" si="6"/>
        <v/>
      </c>
      <c r="Q29" s="154" t="str">
        <f t="shared" si="7"/>
        <v/>
      </c>
      <c r="R29" s="155" t="str">
        <f t="shared" si="8"/>
        <v/>
      </c>
      <c r="S29" s="156" t="str">
        <f t="shared" si="9"/>
        <v/>
      </c>
      <c r="T29" s="157" t="str">
        <f t="shared" si="10"/>
        <v/>
      </c>
      <c r="U29" s="157" t="str">
        <f t="shared" si="11"/>
        <v/>
      </c>
      <c r="V29" s="158" t="str">
        <f t="shared" si="22"/>
        <v/>
      </c>
      <c r="W29" s="159" t="str">
        <f>IF(M29="","",VLOOKUP($B$6,rekenwaarden!M$8:N$12,2))</f>
        <v/>
      </c>
      <c r="X29" s="160" t="str">
        <f t="shared" si="12"/>
        <v/>
      </c>
      <c r="Y29" s="160" t="str">
        <f t="shared" si="13"/>
        <v/>
      </c>
      <c r="Z29" s="160" t="str">
        <f>IF(M29="","", VLOOKUP(B$6,rekenwaarden!M$8:T$12,3)*Q29)</f>
        <v/>
      </c>
      <c r="AA29" s="160" t="str">
        <f t="shared" si="14"/>
        <v/>
      </c>
      <c r="AB29" s="160" t="str">
        <f>IF(M29="","", VLOOKUP($B$6,rekenwaarden!M$8:T$12,4)*Q29)</f>
        <v/>
      </c>
      <c r="AC29" s="160" t="str">
        <f t="shared" si="15"/>
        <v/>
      </c>
      <c r="AD29" s="160" t="str">
        <f t="shared" si="16"/>
        <v/>
      </c>
      <c r="AE29" s="160" t="str">
        <f t="shared" si="17"/>
        <v/>
      </c>
      <c r="AF29" s="160" t="str">
        <f t="shared" si="23"/>
        <v/>
      </c>
      <c r="AG29" s="160" t="str">
        <f t="shared" si="18"/>
        <v/>
      </c>
      <c r="AH29" s="161" t="str">
        <f t="shared" ca="1" si="19"/>
        <v/>
      </c>
      <c r="AI29" s="161" t="str">
        <f t="shared" ca="1" si="24"/>
        <v/>
      </c>
      <c r="AJ29" s="161"/>
      <c r="AK29" s="161"/>
      <c r="AL29" s="164" t="str">
        <f t="shared" si="25"/>
        <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row r="33" spans="1:1" x14ac:dyDescent="0.25">
      <c r="A33" s="217"/>
    </row>
  </sheetData>
  <sheetProtection algorithmName="SHA-512" hashValue="ObaK5kUGjRZKxiTUFw9wlQewG1ZFmv/AYiD9oJyA7OJFAjVDZ3aZr/jqw64kiI4PEnxVoNtmKU7mQz/CD/FdeA==" saltValue="A0fbd4oFVbTBzYo5gZpSlQ==" spinCount="100000" sheet="1" objects="1" scenarios="1"/>
  <protectedRanges>
    <protectedRange sqref="K2:U14" name="Loonaangiftebericht"/>
    <protectedRange sqref="B1:B9" name="Persoon en IKV"/>
  </protectedRanges>
  <mergeCells count="2">
    <mergeCell ref="A11:B11"/>
    <mergeCell ref="D17:E17"/>
  </mergeCells>
  <dataValidations count="8">
    <dataValidation type="whole" allowBlank="1" showInputMessage="1" showErrorMessage="1" promptTitle="Handboek Loonheffingen: " prompt="Rekenkundig afgeronde hele uren" sqref="N2:N14" xr:uid="{2E2DEE4A-87DA-477C-847E-E0B098A7CA57}">
      <formula1>-999</formula1>
      <formula2>999</formula2>
    </dataValidation>
    <dataValidation type="list" allowBlank="1" showInputMessage="1" showErrorMessage="1" sqref="K2:K14" xr:uid="{E1777DED-B599-4F46-84BC-4421E3916423}">
      <formula1>Code_Reden_Einde_Arbeidsverhouding</formula1>
    </dataValidation>
    <dataValidation type="list" allowBlank="1" showInputMessage="1" showErrorMessage="1" sqref="M2:M14" xr:uid="{C0846590-D923-4CDB-B5D6-55E9B445CE87}">
      <formula1>Code_Aard_Arbeidsverhouding</formula1>
    </dataValidation>
    <dataValidation type="list" allowBlank="1" showInputMessage="1" showErrorMessage="1" sqref="L2:L14" xr:uid="{17ED95B0-ED5A-465D-BC85-C4C2D7E5E74D}">
      <formula1>Code_Soort_IKV</formula1>
    </dataValidation>
    <dataValidation type="list" allowBlank="1" showInputMessage="1" showErrorMessage="1" sqref="C2" xr:uid="{A5818E52-E8B8-49E2-B4CD-DBE608D18CBF}">
      <formula1>"maandelijks,vierwekelijks"</formula1>
    </dataValidation>
    <dataValidation type="list" allowBlank="1" showInputMessage="1" showErrorMessage="1" sqref="B1:C1" xr:uid="{7BB0009E-648C-465E-A695-E7C7A556B48E}">
      <formula1>"2027,2028"</formula1>
    </dataValidation>
    <dataValidation type="list" allowBlank="1" showInputMessage="1" showErrorMessage="1" sqref="B8:C8" xr:uid="{219DDD08-5B29-42B7-B589-EFCC10F0A665}">
      <formula1>"WAAR,NIET WAAR"</formula1>
    </dataValidation>
    <dataValidation type="list" allowBlank="1" showInputMessage="1" showErrorMessage="1" sqref="B2" xr:uid="{75E68D83-258A-48F7-959A-4A9041D005DF}">
      <formula1>"Maandelijks,Vierwekelijks"</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2A9F9190-A866-4F00-A9B1-C119C85BFC20}">
          <x14:formula1>
            <xm:f>rekenwaarden!$M$8:$M$12</xm:f>
          </x14:formula1>
          <xm:sqref>B6:C6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49432-CF30-48E7-AB46-7A006979E71A}">
  <sheetPr>
    <tabColor theme="4" tint="-0.249977111117893"/>
  </sheetPr>
  <dimension ref="A1:AL30"/>
  <sheetViews>
    <sheetView showGridLines="0" zoomScale="90" zoomScaleNormal="90" workbookViewId="0">
      <pane xSplit="2" ySplit="30" topLeftCell="D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179687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8.1796875" customWidth="1"/>
    <col min="22" max="33" width="15.81640625" customWidth="1"/>
    <col min="34" max="34" width="19.453125" bestFit="1" customWidth="1"/>
    <col min="35" max="35" width="20.453125" customWidth="1"/>
    <col min="36" max="36" width="12.81640625" bestFit="1"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210" t="s">
        <v>18</v>
      </c>
      <c r="W1" s="211" t="s">
        <v>71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IF(OR(Datum_Einde_IKV="",Tabel1353678[[#This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IF(Tabel1353678[[#This Row],[Inkomsten-periode]]="","",DATEDIF(Geboortedatum,Tabel1353678[[#This Row],[DatEindTv]],"Y"))</f>
        <v>23</v>
      </c>
      <c r="I2" s="146">
        <f>IF(Tabel1353678[[#This Row],[Inkomsten-periode]]="","",IF(Datum_Aanvang_IKV="","",Datum_Aanvang_IKV))</f>
        <v>45658</v>
      </c>
      <c r="J2" s="146" t="str">
        <f>IF(Tabel1353678[[#This Row],[Inkomsten-periode]]="","",IF(Datum_Einde_IKV="","",IF(Datum_Einde_IKV&lt;=Tabel1353678[[#This Row],[DatEindTv]],Datum_Einde_IKV,"")))</f>
        <v/>
      </c>
      <c r="K2" s="138"/>
      <c r="L2" s="138">
        <v>15</v>
      </c>
      <c r="M2" s="138">
        <v>1</v>
      </c>
      <c r="N2" s="139">
        <v>173</v>
      </c>
      <c r="O2" s="140">
        <v>2250</v>
      </c>
      <c r="P2" s="140">
        <v>0</v>
      </c>
      <c r="Q2" s="140">
        <v>200</v>
      </c>
      <c r="R2" s="140">
        <v>0</v>
      </c>
      <c r="S2" s="140">
        <v>0</v>
      </c>
      <c r="T2" s="140">
        <v>2250</v>
      </c>
      <c r="U2" s="140"/>
      <c r="V2" s="184">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Row],[OpnAvwb]],0))))</f>
        <v>2450</v>
      </c>
      <c r="W2" s="185">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Row],[AantVerlU]],0))))</f>
        <v>173</v>
      </c>
      <c r="X2" s="184"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f>
        <v/>
      </c>
      <c r="Y2" s="185"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Row],[AantVerlU]],"")),"")</f>
        <v/>
      </c>
    </row>
    <row r="3" spans="1:38" s="113" customFormat="1" ht="16.399999999999999" customHeight="1" x14ac:dyDescent="0.25">
      <c r="A3" s="122" t="s">
        <v>21</v>
      </c>
      <c r="B3" s="133">
        <v>37949</v>
      </c>
      <c r="C3" s="202"/>
      <c r="D3" s="145">
        <f>IF(OR(Datum_Einde_IKV&gt;G2,Datum_Einde_IKV=""),IF(AND($B$2="Maandelijks", COUNTIF($D$1:D2, 12)=1), "",IF(OR(AND($B$2="Maandelijks", D2=12),AND($B$2="Vierwekelijks", D2=13), D2 = "Periode"), 1, D2+1)),"")</f>
        <v>2</v>
      </c>
      <c r="E3" s="145" t="str">
        <f>IF(OR(Datum_Einde_IKV="",Tabel1353678[[#This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IF(Tabel1353678[[#This Row],[Inkomsten-periode]]="","",DATEDIF(Geboortedatum,Tabel1353678[[#This Row],[DatEindTv]],"Y"))</f>
        <v>23</v>
      </c>
      <c r="I3" s="146">
        <f>IF(Tabel1353678[[#This Row],[Inkomsten-periode]]="","",IF(Datum_Aanvang_IKV="","",Datum_Aanvang_IKV))</f>
        <v>45658</v>
      </c>
      <c r="J3" s="146" t="str">
        <f>IF(Tabel1353678[[#This Row],[Inkomsten-periode]]="","",IF(Datum_Einde_IKV="","",IF(Datum_Einde_IKV&lt;=Tabel1353678[[#This Row],[DatEindTv]],Datum_Einde_IKV,"")))</f>
        <v/>
      </c>
      <c r="K3" s="141"/>
      <c r="L3" s="141">
        <v>15</v>
      </c>
      <c r="M3" s="141">
        <v>1</v>
      </c>
      <c r="N3" s="142">
        <v>173</v>
      </c>
      <c r="O3" s="143">
        <v>2250</v>
      </c>
      <c r="P3" s="143">
        <v>0</v>
      </c>
      <c r="Q3" s="143">
        <v>200</v>
      </c>
      <c r="R3" s="143">
        <v>0</v>
      </c>
      <c r="S3" s="143">
        <v>0</v>
      </c>
      <c r="T3" s="143">
        <v>2250</v>
      </c>
      <c r="U3" s="143"/>
      <c r="V3" s="184">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Row],[OpnAvwb]],0))))</f>
        <v>2450</v>
      </c>
      <c r="W3" s="186">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Row],[AantVerlU]],0))))</f>
        <v>173</v>
      </c>
      <c r="X3" s="184"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f>
        <v/>
      </c>
      <c r="Y3" s="186"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Row],[AantVerlU]],"")),"")</f>
        <v/>
      </c>
    </row>
    <row r="4" spans="1:38" s="113" customFormat="1" ht="16.399999999999999" customHeight="1" x14ac:dyDescent="0.25">
      <c r="A4" s="122" t="s">
        <v>22</v>
      </c>
      <c r="B4" s="134">
        <v>45658</v>
      </c>
      <c r="C4" s="202"/>
      <c r="D4" s="144">
        <f>IF(OR(Datum_Einde_IKV&gt;G3,Datum_Einde_IKV=""),IF(AND($B$2="Maandelijks", COUNTIF($D$1:D3, 12)=1), "",IF(OR(AND($B$2="Maandelijks", D3=12),AND($B$2="Vierwekelijks", D3=13), D3 = "Periode"), 1, D3+1)),"")</f>
        <v>3</v>
      </c>
      <c r="E4" s="145" t="str">
        <f>IF(OR(Datum_Einde_IKV="",Tabel1353678[[#This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IF(Tabel1353678[[#This Row],[Inkomsten-periode]]="","",DATEDIF(Geboortedatum,Tabel1353678[[#This Row],[DatEindTv]],"Y"))</f>
        <v>23</v>
      </c>
      <c r="I4" s="146">
        <f>IF(Tabel1353678[[#This Row],[Inkomsten-periode]]="","",IF(Datum_Aanvang_IKV="","",Datum_Aanvang_IKV))</f>
        <v>45658</v>
      </c>
      <c r="J4" s="146" t="str">
        <f>IF(Tabel1353678[[#This Row],[Inkomsten-periode]]="","",IF(Datum_Einde_IKV="","",IF(Datum_Einde_IKV&lt;=Tabel1353678[[#This Row],[DatEindTv]],Datum_Einde_IKV,"")))</f>
        <v/>
      </c>
      <c r="K4" s="138"/>
      <c r="L4" s="138">
        <v>15</v>
      </c>
      <c r="M4" s="138">
        <v>1</v>
      </c>
      <c r="N4" s="139">
        <v>173</v>
      </c>
      <c r="O4" s="140">
        <v>2250</v>
      </c>
      <c r="P4" s="140">
        <v>0</v>
      </c>
      <c r="Q4" s="140">
        <v>200</v>
      </c>
      <c r="R4" s="140">
        <v>0</v>
      </c>
      <c r="S4" s="140">
        <v>0</v>
      </c>
      <c r="T4" s="140">
        <v>2250</v>
      </c>
      <c r="U4" s="140"/>
      <c r="V4" s="184">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Row],[OpnAvwb]],0))))</f>
        <v>2450</v>
      </c>
      <c r="W4" s="186">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Row],[AantVerlU]],0))))</f>
        <v>173</v>
      </c>
      <c r="X4" s="184"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f>
        <v/>
      </c>
      <c r="Y4" s="186"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Row],[AantVerlU]],"")),"")</f>
        <v/>
      </c>
    </row>
    <row r="5" spans="1:38" s="113" customFormat="1" ht="16.399999999999999" customHeight="1" x14ac:dyDescent="0.25">
      <c r="A5" s="122" t="s">
        <v>23</v>
      </c>
      <c r="B5" s="133">
        <v>46507</v>
      </c>
      <c r="C5" s="202"/>
      <c r="D5" s="145">
        <f>IF(OR(Datum_Einde_IKV&gt;G4,Datum_Einde_IKV=""),IF(AND($B$2="Maandelijks", COUNTIF($D$1:D4, 12)=1), "",IF(OR(AND($B$2="Maandelijks", D4=12),AND($B$2="Vierwekelijks", D4=13), D4 = "Periode"), 1, D4+1)),"")</f>
        <v>4</v>
      </c>
      <c r="E5" s="145" t="str">
        <f>IF(OR(Datum_Einde_IKV="",Tabel1353678[[#This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IF(Tabel1353678[[#This Row],[Inkomsten-periode]]="","",DATEDIF(Geboortedatum,Tabel1353678[[#This Row],[DatEindTv]],"Y"))</f>
        <v>23</v>
      </c>
      <c r="I5" s="146">
        <f>IF(Tabel1353678[[#This Row],[Inkomsten-periode]]="","",IF(Datum_Aanvang_IKV="","",Datum_Aanvang_IKV))</f>
        <v>45658</v>
      </c>
      <c r="J5" s="146">
        <f>IF(Tabel1353678[[#This Row],[Inkomsten-periode]]="","",IF(Datum_Einde_IKV="","",IF(Datum_Einde_IKV&lt;=Tabel1353678[[#This Row],[DatEindTv]],Datum_Einde_IKV,"")))</f>
        <v>46507</v>
      </c>
      <c r="K5" s="141">
        <v>20</v>
      </c>
      <c r="L5" s="141">
        <v>15</v>
      </c>
      <c r="M5" s="141">
        <v>1</v>
      </c>
      <c r="N5" s="142">
        <v>173</v>
      </c>
      <c r="O5" s="143">
        <v>2250</v>
      </c>
      <c r="P5" s="143">
        <v>0</v>
      </c>
      <c r="Q5" s="143">
        <v>200</v>
      </c>
      <c r="R5" s="143">
        <v>0</v>
      </c>
      <c r="S5" s="143">
        <v>0</v>
      </c>
      <c r="T5" s="143">
        <v>2250</v>
      </c>
      <c r="U5" s="143"/>
      <c r="V5" s="184">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Row],[OpnAvwb]],0))))</f>
        <v>2450</v>
      </c>
      <c r="W5" s="186">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Row],[AantVerlU]],0))))</f>
        <v>173</v>
      </c>
      <c r="X5" s="184"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f>
        <v/>
      </c>
      <c r="Y5" s="186"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Row],[AantVerlU]],"")),"")</f>
        <v/>
      </c>
    </row>
    <row r="6" spans="1:38" s="113" customFormat="1" ht="16.399999999999999" customHeight="1" x14ac:dyDescent="0.25">
      <c r="A6" s="122" t="s">
        <v>24</v>
      </c>
      <c r="B6" s="135" t="s">
        <v>180</v>
      </c>
      <c r="C6" s="203"/>
      <c r="D6" s="144" t="str">
        <f>IF(OR(Datum_Einde_IKV&gt;G5,Datum_Einde_IKV=""),IF(AND($B$2="Maandelijks", COUNTIF($D$1:D5, 12)=1), "",IF(OR(AND($B$2="Maandelijks", D5=12),AND($B$2="Vierwekelijks", D5=13), D5 = "Periode"), 1, D5+1)),"")</f>
        <v/>
      </c>
      <c r="E6" s="145" t="str">
        <f>IF(OR(Datum_Einde_IKV="",Tabel1353678[[#This Row],[DatAanvTv]]&lt;Datum_Einde_IKV),IF(E5="december","",IF(Verloningsperiodiciteit="maandelijks",rekenwaarden!F7,_xlfn.CONCAT("Periode ",rekenwaarden!E7))),"")</f>
        <v/>
      </c>
      <c r="F6" s="146" t="str">
        <f t="shared" si="0"/>
        <v/>
      </c>
      <c r="G6" s="146" t="str">
        <f>IF(F6="", "", IF(Verloningsperiodiciteit="Vierwekelijks", _xlfn.XLOOKUP(F6,rekenwaarden!$C$3:$C$54,rekenwaarden!$D$3:$D$54,"niet gevonden",-1), _xlfn.XLOOKUP(F6,rekenwaarden!$I$3:$I$54,rekenwaarden!$J$3:$J$54,"niet gevonden",-1)))</f>
        <v/>
      </c>
      <c r="H6" s="147" t="str">
        <f>IF(Tabel1353678[[#This Row],[Inkomsten-periode]]="","",DATEDIF(Geboortedatum,Tabel1353678[[#This Row],[DatEindTv]],"Y"))</f>
        <v/>
      </c>
      <c r="I6" s="146" t="str">
        <f>IF(Tabel1353678[[#This Row],[Inkomsten-periode]]="","",IF(Datum_Aanvang_IKV="","",Datum_Aanvang_IKV))</f>
        <v/>
      </c>
      <c r="J6" s="146" t="str">
        <f>IF(Tabel1353678[[#This Row],[Inkomsten-periode]]="","",IF(Datum_Einde_IKV="","",IF(Datum_Einde_IKV&lt;=Tabel1353678[[#This Row],[DatEindTv]],Datum_Einde_IKV,"")))</f>
        <v/>
      </c>
      <c r="K6" s="138"/>
      <c r="L6" s="138"/>
      <c r="M6" s="138"/>
      <c r="N6" s="139">
        <v>40</v>
      </c>
      <c r="O6" s="140">
        <v>2720</v>
      </c>
      <c r="P6" s="140">
        <v>2200</v>
      </c>
      <c r="Q6" s="140">
        <v>0</v>
      </c>
      <c r="R6" s="140">
        <v>0</v>
      </c>
      <c r="S6" s="140">
        <v>0</v>
      </c>
      <c r="T6" s="140">
        <v>2720</v>
      </c>
      <c r="U6" s="140"/>
      <c r="V6" s="184"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Row],[OpnAvwb]],0))))</f>
        <v/>
      </c>
      <c r="W6" s="186"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Row],[AantVerlU]],0))))</f>
        <v/>
      </c>
      <c r="X6" s="184">
        <v>2720</v>
      </c>
      <c r="Y6" s="186">
        <v>40</v>
      </c>
    </row>
    <row r="7" spans="1:38" s="113" customFormat="1" ht="16.399999999999999" customHeight="1" x14ac:dyDescent="0.25">
      <c r="A7" s="122" t="s">
        <v>26</v>
      </c>
      <c r="B7" s="136">
        <f>VLOOKUP(B6,rekenwaarden!M8:T12,8)</f>
        <v>40</v>
      </c>
      <c r="C7" s="204"/>
      <c r="D7" s="145" t="str">
        <f>IF(OR(Datum_Einde_IKV&gt;G6,Datum_Einde_IKV=""),IF(AND($B$2="Maandelijks", COUNTIF($D$1:D6, 12)=1), "",IF(OR(AND($B$2="Maandelijks", D6=12),AND($B$2="Vierwekelijks", D6=13), D6 = "Periode"), 1, D6+1)),"")</f>
        <v/>
      </c>
      <c r="E7" s="145" t="str">
        <f>IF(OR(Datum_Einde_IKV="",Tabel1353678[[#This Row],[DatAanvTv]]&lt;Datum_Einde_IKV),IF(E6="december","",IF(Verloningsperiodiciteit="maandelijks",rekenwaarden!F8,_xlfn.CONCAT("Periode ",rekenwaarden!E8))),"")</f>
        <v/>
      </c>
      <c r="F7" s="146" t="str">
        <f t="shared" si="0"/>
        <v/>
      </c>
      <c r="G7" s="146" t="str">
        <f>IF(F7="", "", IF(Verloningsperiodiciteit="Vierwekelijks", _xlfn.XLOOKUP(F7,rekenwaarden!$C$3:$C$54,rekenwaarden!$D$3:$D$54,"niet gevonden",-1), _xlfn.XLOOKUP(F7,rekenwaarden!$I$3:$I$54,rekenwaarden!$J$3:$J$54,"niet gevonden",-1)))</f>
        <v/>
      </c>
      <c r="H7" s="147" t="str">
        <f>IF(Tabel1353678[[#This Row],[Inkomsten-periode]]="","",DATEDIF(Geboortedatum,Tabel1353678[[#This Row],[DatEindTv]],"Y"))</f>
        <v/>
      </c>
      <c r="I7" s="146" t="str">
        <f>IF(Tabel1353678[[#This Row],[Inkomsten-periode]]="","",IF(Datum_Aanvang_IKV="","",Datum_Aanvang_IKV))</f>
        <v/>
      </c>
      <c r="J7" s="146" t="str">
        <f>IF(Tabel1353678[[#This Row],[Inkomsten-periode]]="","",IF(Datum_Einde_IKV="","",IF(Datum_Einde_IKV&lt;=Tabel1353678[[#This Row],[DatEindTv]],Datum_Einde_IKV,"")))</f>
        <v/>
      </c>
      <c r="K7" s="141"/>
      <c r="L7" s="141"/>
      <c r="M7" s="141"/>
      <c r="N7" s="142"/>
      <c r="O7" s="143"/>
      <c r="P7" s="143"/>
      <c r="Q7" s="143"/>
      <c r="R7" s="143"/>
      <c r="S7" s="143"/>
      <c r="T7" s="143"/>
      <c r="U7" s="143"/>
      <c r="V7" s="184"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Row],[OpnAvwb]],0))))</f>
        <v/>
      </c>
      <c r="W7" s="186"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Row],[AantVerlU]],0))))</f>
        <v/>
      </c>
      <c r="X7" s="184"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f>
        <v/>
      </c>
      <c r="Y7" s="186"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Row],[AantVerlU]],"")),"")</f>
        <v/>
      </c>
    </row>
    <row r="8" spans="1:38" s="113" customFormat="1" ht="16.399999999999999" customHeight="1" x14ac:dyDescent="0.25">
      <c r="A8" s="122" t="s">
        <v>27</v>
      </c>
      <c r="B8" s="137" t="s">
        <v>200</v>
      </c>
      <c r="C8" s="202"/>
      <c r="D8" s="144" t="str">
        <f>IF(OR(Datum_Einde_IKV&gt;G7,Datum_Einde_IKV=""),IF(AND($B$2="Maandelijks", COUNTIF($D$1:D7, 12)=1), "",IF(OR(AND($B$2="Maandelijks", D7=12),AND($B$2="Vierwekelijks", D7=13), D7 = "Periode"), 1, D7+1)),"")</f>
        <v/>
      </c>
      <c r="E8" s="145" t="str">
        <f>IF(OR(Datum_Einde_IKV="",Tabel1353678[[#This Row],[DatAanvTv]]&lt;Datum_Einde_IKV),IF(E7="december","",IF(Verloningsperiodiciteit="maandelijks",rekenwaarden!F9,_xlfn.CONCAT("Periode ",rekenwaarden!E9))),"")</f>
        <v/>
      </c>
      <c r="F8" s="146" t="str">
        <f t="shared" si="0"/>
        <v/>
      </c>
      <c r="G8" s="146" t="str">
        <f>IF(F8="", "", IF(Verloningsperiodiciteit="Vierwekelijks", _xlfn.XLOOKUP(F8,rekenwaarden!$C$3:$C$54,rekenwaarden!$D$3:$D$54,"niet gevonden",-1), _xlfn.XLOOKUP(F8,rekenwaarden!$I$3:$I$54,rekenwaarden!$J$3:$J$54,"niet gevonden",-1)))</f>
        <v/>
      </c>
      <c r="H8" s="147" t="str">
        <f>IF(Tabel1353678[[#This Row],[Inkomsten-periode]]="","",DATEDIF(Geboortedatum,Tabel1353678[[#This Row],[DatEindTv]],"Y"))</f>
        <v/>
      </c>
      <c r="I8" s="146" t="str">
        <f>IF(Tabel1353678[[#This Row],[Inkomsten-periode]]="","",IF(Datum_Aanvang_IKV="","",Datum_Aanvang_IKV))</f>
        <v/>
      </c>
      <c r="J8" s="146" t="str">
        <f>IF(Tabel1353678[[#This Row],[Inkomsten-periode]]="","",IF(Datum_Einde_IKV="","",IF(Datum_Einde_IKV&lt;=Tabel1353678[[#This Row],[DatEindTv]],Datum_Einde_IKV,"")))</f>
        <v/>
      </c>
      <c r="K8" s="138"/>
      <c r="L8" s="138"/>
      <c r="M8" s="138"/>
      <c r="N8" s="139"/>
      <c r="O8" s="140"/>
      <c r="P8" s="140"/>
      <c r="Q8" s="140"/>
      <c r="R8" s="140"/>
      <c r="S8" s="140"/>
      <c r="T8" s="140"/>
      <c r="U8" s="140"/>
      <c r="V8" s="184"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Row],[OpnAvwb]],0))))</f>
        <v/>
      </c>
      <c r="W8" s="186"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Row],[AantVerlU]],0))))</f>
        <v/>
      </c>
      <c r="X8" s="184"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f>
        <v/>
      </c>
      <c r="Y8" s="186"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Row],[AantVerlU]],"")),"")</f>
        <v/>
      </c>
    </row>
    <row r="9" spans="1:38" s="113" customFormat="1" ht="16.399999999999999" customHeight="1" x14ac:dyDescent="0.25">
      <c r="A9" s="122"/>
      <c r="B9" s="131"/>
      <c r="C9" s="200"/>
      <c r="D9" s="145" t="str">
        <f>IF(OR(Datum_Einde_IKV&gt;G8,Datum_Einde_IKV=""),IF(AND($B$2="Maandelijks", COUNTIF($D$1:D8, 12)=1), "",IF(OR(AND($B$2="Maandelijks", D8=12),AND($B$2="Vierwekelijks", D8=13), D8 = "Periode"), 1, D8+1)),"")</f>
        <v/>
      </c>
      <c r="E9" s="145" t="str">
        <f>IF(OR(Datum_Einde_IKV="",Tabel1353678[[#This Row],[DatAanvTv]]&lt;Datum_Einde_IKV),IF(E8="december","",IF(Verloningsperiodiciteit="maandelijks",rekenwaarden!F10,_xlfn.CONCAT("Periode ",rekenwaarden!E10))),"")</f>
        <v/>
      </c>
      <c r="F9" s="146" t="str">
        <f t="shared" si="0"/>
        <v/>
      </c>
      <c r="G9" s="146" t="str">
        <f>IF(F9="", "", IF(Verloningsperiodiciteit="Vierwekelijks", _xlfn.XLOOKUP(F9,rekenwaarden!$C$3:$C$54,rekenwaarden!$D$3:$D$54,"niet gevonden",-1), _xlfn.XLOOKUP(F9,rekenwaarden!$I$3:$I$54,rekenwaarden!$J$3:$J$54,"niet gevonden",-1)))</f>
        <v/>
      </c>
      <c r="H9" s="147" t="str">
        <f>IF(Tabel1353678[[#This Row],[Inkomsten-periode]]="","",DATEDIF(Geboortedatum,Tabel1353678[[#This Row],[DatEindTv]],"Y"))</f>
        <v/>
      </c>
      <c r="I9" s="146" t="str">
        <f>IF(Tabel1353678[[#This Row],[Inkomsten-periode]]="","",IF(Datum_Aanvang_IKV="","",Datum_Aanvang_IKV))</f>
        <v/>
      </c>
      <c r="J9" s="146" t="str">
        <f>IF(Tabel1353678[[#This Row],[Inkomsten-periode]]="","",IF(Datum_Einde_IKV="","",IF(Datum_Einde_IKV&lt;=Tabel1353678[[#This Row],[DatEindTv]],Datum_Einde_IKV,"")))</f>
        <v/>
      </c>
      <c r="K9" s="141"/>
      <c r="L9" s="141"/>
      <c r="M9" s="141"/>
      <c r="N9" s="142"/>
      <c r="O9" s="143"/>
      <c r="P9" s="143"/>
      <c r="Q9" s="143"/>
      <c r="R9" s="143"/>
      <c r="S9" s="143"/>
      <c r="T9" s="143"/>
      <c r="U9" s="143"/>
      <c r="V9" s="184"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Row],[OpnAvwb]],0))))</f>
        <v/>
      </c>
      <c r="W9" s="186"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Row],[AantVerlU]],0))))</f>
        <v/>
      </c>
      <c r="X9" s="184"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f>
        <v/>
      </c>
      <c r="Y9" s="186"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Row],[AantVerlU]],"")),"")</f>
        <v/>
      </c>
    </row>
    <row r="10" spans="1:38" s="113" customFormat="1" ht="16.399999999999999" customHeight="1" thickBot="1" x14ac:dyDescent="0.3">
      <c r="A10" s="200"/>
      <c r="B10" s="200"/>
      <c r="C10" s="200"/>
      <c r="D10" s="144" t="str">
        <f>IF(OR(Datum_Einde_IKV&gt;G9,Datum_Einde_IKV=""),IF(AND($B$2="Maandelijks", COUNTIF($D$1:D9, 12)=1), "",IF(OR(AND($B$2="Maandelijks", D9=12),AND($B$2="Vierwekelijks", D9=13), D9 = "Periode"), 1, D9+1)),"")</f>
        <v/>
      </c>
      <c r="E10" s="145" t="str">
        <f>IF(OR(Datum_Einde_IKV="",Tabel1353678[[#This Row],[DatAanvTv]]&lt;Datum_Einde_IKV),IF(E9="december","",IF(Verloningsperiodiciteit="maandelijks",rekenwaarden!F11,_xlfn.CONCAT("Periode ",rekenwaarden!E11))),"")</f>
        <v/>
      </c>
      <c r="F10" s="146" t="str">
        <f t="shared" si="0"/>
        <v/>
      </c>
      <c r="G10" s="146" t="str">
        <f>IF(F10="", "", IF(Verloningsperiodiciteit="Vierwekelijks", _xlfn.XLOOKUP(F10,rekenwaarden!$C$3:$C$54,rekenwaarden!$D$3:$D$54,"niet gevonden",-1), _xlfn.XLOOKUP(F10,rekenwaarden!$I$3:$I$54,rekenwaarden!$J$3:$J$54,"niet gevonden",-1)))</f>
        <v/>
      </c>
      <c r="H10" s="147" t="str">
        <f>IF(Tabel1353678[[#This Row],[Inkomsten-periode]]="","",DATEDIF(Geboortedatum,Tabel1353678[[#This Row],[DatEindTv]],"Y"))</f>
        <v/>
      </c>
      <c r="I10" s="146" t="str">
        <f>IF(Tabel1353678[[#This Row],[Inkomsten-periode]]="","",IF(Datum_Aanvang_IKV="","",Datum_Aanvang_IKV))</f>
        <v/>
      </c>
      <c r="J10" s="146" t="str">
        <f>IF(Tabel1353678[[#This Row],[Inkomsten-periode]]="","",IF(Datum_Einde_IKV="","",IF(Datum_Einde_IKV&lt;=Tabel1353678[[#This Row],[DatEindTv]],Datum_Einde_IKV,"")))</f>
        <v/>
      </c>
      <c r="K10" s="138"/>
      <c r="L10" s="138"/>
      <c r="M10" s="138"/>
      <c r="N10" s="139"/>
      <c r="O10" s="140"/>
      <c r="P10" s="140"/>
      <c r="Q10" s="140"/>
      <c r="R10" s="140"/>
      <c r="S10" s="140"/>
      <c r="T10" s="140"/>
      <c r="U10" s="140"/>
      <c r="V10" s="184"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Row],[OpnAvwb]],0))))</f>
        <v/>
      </c>
      <c r="W10" s="186"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Row],[AantVerlU]],0))))</f>
        <v/>
      </c>
      <c r="X10" s="184"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f>
        <v/>
      </c>
      <c r="Y10" s="186"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Row],[AantVerlU]],"")),"")</f>
        <v/>
      </c>
    </row>
    <row r="11" spans="1:38" s="113" customFormat="1" ht="16.399999999999999" customHeight="1" x14ac:dyDescent="0.25">
      <c r="A11" s="245" t="s">
        <v>65</v>
      </c>
      <c r="B11" s="246"/>
      <c r="C11" s="200"/>
      <c r="D11" s="145" t="str">
        <f>IF(OR(Datum_Einde_IKV&gt;G10,Datum_Einde_IKV=""),IF(AND($B$2="Maandelijks", COUNTIF($D$1:D10, 12)=1), "",IF(OR(AND($B$2="Maandelijks", D10=12),AND($B$2="Vierwekelijks", D10=13), D10 = "Periode"), 1, D10+1)),"")</f>
        <v/>
      </c>
      <c r="E11" s="145" t="str">
        <f>IF(OR(Datum_Einde_IKV="",Tabel1353678[[#This Row],[DatAanvTv]]&lt;Datum_Einde_IKV),IF(E10="december","",IF(Verloningsperiodiciteit="maandelijks",rekenwaarden!F12,_xlfn.CONCAT("Periode ",rekenwaarden!E12))),"")</f>
        <v/>
      </c>
      <c r="F11" s="146" t="str">
        <f t="shared" si="0"/>
        <v/>
      </c>
      <c r="G11" s="146" t="str">
        <f>IF(F11="", "", IF(Verloningsperiodiciteit="Vierwekelijks", _xlfn.XLOOKUP(F11,rekenwaarden!$C$3:$C$54,rekenwaarden!$D$3:$D$54,"niet gevonden",-1), _xlfn.XLOOKUP(F11,rekenwaarden!$I$3:$I$54,rekenwaarden!$J$3:$J$54,"niet gevonden",-1)))</f>
        <v/>
      </c>
      <c r="H11" s="147" t="str">
        <f>IF(Tabel1353678[[#This Row],[Inkomsten-periode]]="","",DATEDIF(Geboortedatum,Tabel1353678[[#This Row],[DatEindTv]],"Y"))</f>
        <v/>
      </c>
      <c r="I11" s="146" t="str">
        <f>IF(Tabel1353678[[#This Row],[Inkomsten-periode]]="","",IF(Datum_Aanvang_IKV="","",Datum_Aanvang_IKV))</f>
        <v/>
      </c>
      <c r="J11" s="146" t="str">
        <f>IF(Tabel1353678[[#This Row],[Inkomsten-periode]]="","",IF(Datum_Einde_IKV="","",IF(Datum_Einde_IKV&lt;=Tabel1353678[[#This Row],[DatEindTv]],Datum_Einde_IKV,"")))</f>
        <v/>
      </c>
      <c r="K11" s="141"/>
      <c r="L11" s="141"/>
      <c r="M11" s="141"/>
      <c r="N11" s="142"/>
      <c r="O11" s="143"/>
      <c r="P11" s="143"/>
      <c r="Q11" s="143"/>
      <c r="R11" s="143"/>
      <c r="S11" s="143"/>
      <c r="T11" s="143"/>
      <c r="U11" s="143"/>
      <c r="V11" s="184"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Row],[OpnAvwb]],0))))</f>
        <v/>
      </c>
      <c r="W11" s="186"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Row],[AantVerlU]],0))))</f>
        <v/>
      </c>
      <c r="X11" s="184"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f>
        <v/>
      </c>
      <c r="Y11" s="186"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Row],[AantVerlU]],"")),"")</f>
        <v/>
      </c>
    </row>
    <row r="12" spans="1:38" s="113" customFormat="1" ht="16.399999999999999" customHeight="1" x14ac:dyDescent="0.25">
      <c r="A12" s="249" t="s">
        <v>201</v>
      </c>
      <c r="B12" s="250"/>
      <c r="C12" s="200"/>
      <c r="D12" s="144" t="str">
        <f>IF(OR(Datum_Einde_IKV&gt;G11,Datum_Einde_IKV=""),IF(AND($B$2="Maandelijks", COUNTIF($D$1:D11, 12)=1), "",IF(OR(AND($B$2="Maandelijks", D11=12),AND($B$2="Vierwekelijks", D11=13), D11 = "Periode"), 1, D11+1)),"")</f>
        <v/>
      </c>
      <c r="E12" s="145" t="str">
        <f>IF(OR(Datum_Einde_IKV="",Tabel1353678[[#This Row],[DatAanvTv]]&lt;Datum_Einde_IKV),IF(E11="december","",IF(Verloningsperiodiciteit="maandelijks",rekenwaarden!F13,_xlfn.CONCAT("Periode ",rekenwaarden!E13))),"")</f>
        <v/>
      </c>
      <c r="F12" s="146" t="str">
        <f t="shared" si="0"/>
        <v/>
      </c>
      <c r="G12" s="146" t="str">
        <f>IF(F12="", "", IF(Verloningsperiodiciteit="Vierwekelijks", _xlfn.XLOOKUP(F12,rekenwaarden!$C$3:$C$54,rekenwaarden!$D$3:$D$54,"niet gevonden",-1), _xlfn.XLOOKUP(F12,rekenwaarden!$I$3:$I$54,rekenwaarden!$J$3:$J$54,"niet gevonden",-1)))</f>
        <v/>
      </c>
      <c r="H12" s="147" t="str">
        <f>IF(Tabel1353678[[#This Row],[Inkomsten-periode]]="","",DATEDIF(Geboortedatum,Tabel1353678[[#This Row],[DatEindTv]],"Y"))</f>
        <v/>
      </c>
      <c r="I12" s="146" t="str">
        <f>IF(Tabel1353678[[#This Row],[Inkomsten-periode]]="","",IF(Datum_Aanvang_IKV="","",Datum_Aanvang_IKV))</f>
        <v/>
      </c>
      <c r="J12" s="146" t="str">
        <f>IF(Tabel1353678[[#This Row],[Inkomsten-periode]]="","",IF(Datum_Einde_IKV="","",IF(Datum_Einde_IKV&lt;=Tabel1353678[[#This Row],[DatEindTv]],Datum_Einde_IKV,"")))</f>
        <v/>
      </c>
      <c r="K12" s="138"/>
      <c r="L12" s="138"/>
      <c r="M12" s="138"/>
      <c r="N12" s="139"/>
      <c r="O12" s="140"/>
      <c r="P12" s="140"/>
      <c r="Q12" s="140"/>
      <c r="R12" s="140"/>
      <c r="S12" s="140"/>
      <c r="T12" s="140"/>
      <c r="U12" s="140"/>
      <c r="V12" s="184"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Row],[OpnAvwb]],0))))</f>
        <v/>
      </c>
      <c r="W12" s="186"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Row],[AantVerlU]],0))))</f>
        <v/>
      </c>
      <c r="X12" s="184"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f>
        <v/>
      </c>
      <c r="Y12" s="186"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Row],[AantVerlU]],"")),"")</f>
        <v/>
      </c>
    </row>
    <row r="13" spans="1:38" s="113" customFormat="1" ht="16.399999999999999" customHeight="1" x14ac:dyDescent="0.25">
      <c r="A13" s="249"/>
      <c r="B13" s="250"/>
      <c r="C13" s="200"/>
      <c r="D13" s="145" t="str">
        <f>IF(OR(Datum_Einde_IKV&gt;G12,Datum_Einde_IKV=""),IF(AND($B$2="Maandelijks", COUNTIF($D$1:D12, 12)=1), "",IF(OR(AND($B$2="Maandelijks", D12=12),AND($B$2="Vierwekelijks", D12=13), D12 = "Periode"), 1, D12+1)),"")</f>
        <v/>
      </c>
      <c r="E13" s="145" t="str">
        <f>IF(OR(Datum_Einde_IKV="",Tabel1353678[[#This Row],[DatAanvTv]]&lt;Datum_Einde_IKV),IF(E12="december","",IF(Verloningsperiodiciteit="maandelijks",rekenwaarden!F14,_xlfn.CONCAT("Periode ",rekenwaarden!E14))),"")</f>
        <v/>
      </c>
      <c r="F13" s="146" t="str">
        <f t="shared" si="0"/>
        <v/>
      </c>
      <c r="G13" s="146" t="str">
        <f>IF(F13="", "", IF(Verloningsperiodiciteit="Vierwekelijks", _xlfn.XLOOKUP(F13,rekenwaarden!$C$3:$C$54,rekenwaarden!$D$3:$D$54,"niet gevonden",-1), _xlfn.XLOOKUP(F13,rekenwaarden!$I$3:$I$54,rekenwaarden!$J$3:$J$54,"niet gevonden",-1)))</f>
        <v/>
      </c>
      <c r="H13" s="147" t="str">
        <f>IF(Tabel1353678[[#This Row],[Inkomsten-periode]]="","",DATEDIF(Geboortedatum,Tabel1353678[[#This Row],[DatEindTv]],"Y"))</f>
        <v/>
      </c>
      <c r="I13" s="146" t="str">
        <f>IF(Tabel1353678[[#This Row],[Inkomsten-periode]]="","",IF(Datum_Aanvang_IKV="","",Datum_Aanvang_IKV))</f>
        <v/>
      </c>
      <c r="J13" s="146" t="str">
        <f>IF(Tabel1353678[[#This Row],[Inkomsten-periode]]="","",IF(Datum_Einde_IKV="","",IF(Datum_Einde_IKV&lt;=Tabel1353678[[#This Row],[DatEindTv]],Datum_Einde_IKV,"")))</f>
        <v/>
      </c>
      <c r="K13" s="141"/>
      <c r="L13" s="141"/>
      <c r="M13" s="141"/>
      <c r="N13" s="142"/>
      <c r="O13" s="143"/>
      <c r="P13" s="143"/>
      <c r="Q13" s="143"/>
      <c r="R13" s="143"/>
      <c r="S13" s="143"/>
      <c r="T13" s="143"/>
      <c r="U13" s="143"/>
      <c r="V13" s="184"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Row],[OpnAvwb]],0))))</f>
        <v/>
      </c>
      <c r="W13" s="186"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Row],[AantVerlU]],0))))</f>
        <v/>
      </c>
      <c r="X13" s="184"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f>
        <v/>
      </c>
      <c r="Y13" s="186"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Row],[AantVerlU]],"")),"")</f>
        <v/>
      </c>
    </row>
    <row r="14" spans="1:38" s="113" customFormat="1" ht="16.399999999999999" customHeight="1" x14ac:dyDescent="0.25">
      <c r="A14" s="249"/>
      <c r="B14" s="250"/>
      <c r="C14" s="200"/>
      <c r="D14" s="144" t="str">
        <f>IF(OR(Datum_Einde_IKV&gt;G13,Datum_Einde_IKV=""),IF(AND($B$2="Maandelijks", COUNTIF($D$1:D13, 12)=1), "",IF(OR(AND($B$2="Maandelijks", D13=12),AND($B$2="Vierwekelijks", D13=13), D13 = "Periode"), 1, D13+1)),"")</f>
        <v/>
      </c>
      <c r="E14" s="145" t="str">
        <f>IF(OR(Datum_Einde_IKV="",Tabel1353678[[#This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IF(Tabel1353678[[#This Row],[Inkomsten-periode]]="","",DATEDIF(Geboortedatum,Tabel1353678[[#This Row],[DatEindTv]],"Y"))</f>
        <v/>
      </c>
      <c r="I14" s="146" t="str">
        <f>IF(Tabel1353678[[#This Row],[Inkomsten-periode]]="","",IF(Datum_Aanvang_IKV="","",Datum_Aanvang_IKV))</f>
        <v/>
      </c>
      <c r="J14" s="146" t="str">
        <f>IF(Tabel1353678[[#This Row],[Inkomsten-periode]]="","",IF(Datum_Einde_IKV="","",IF(Datum_Einde_IKV&lt;=Tabel1353678[[#This Row],[DatEindTv]],Datum_Einde_IKV,"")))</f>
        <v/>
      </c>
      <c r="K14" s="138"/>
      <c r="L14" s="138"/>
      <c r="M14" s="138"/>
      <c r="N14" s="139"/>
      <c r="O14" s="140"/>
      <c r="P14" s="140"/>
      <c r="Q14" s="140"/>
      <c r="R14" s="140"/>
      <c r="S14" s="140"/>
      <c r="T14" s="140"/>
      <c r="U14" s="140"/>
      <c r="V14" s="184"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Row],[OpnAvwb]],0))))</f>
        <v/>
      </c>
      <c r="W14" s="187" t="str">
        <f>IF(Tabel1353678[[#This Row],[Inkomsten-periode]]="","",IF(OR(Tabel1353678[[#This Row],[Leeftijd]]&lt;18,Tabel1353678[[#This Row],[Leeftijd]]&gt;=68),0,IF(Tabel1353678[[#This Row],[CdRdnEindArbov]]=33,0,IF(AND(OR(Tabel1353678[[#This Row],[SrtIV]]=13,Tabel1353678[[#This Row],[SrtIV]]=15,Tabel1353678[[#This Row],[SrtIV]]=31),OR(Tabel1353678[[#This Row],[CdAard]]=1,Tabel1353678[[#This Row],[CdAard]]=11,Tabel1353678[[#This Row],[CdAard]]=82,Tabel1353678[[#This Row],[CdAard]]=83)),Tabel1353678[[#This Row],[AantVerlU]],0))))</f>
        <v/>
      </c>
      <c r="X14" s="184"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Row],[LnInGld]]+Tabel1353678[[#This Row],[OpgRchtVakBsl]]-Tabel1353678[[#This Row],[VakBsl]]+Tabel1353678[[#This Row],[OpbAvwb]]-Tabel1353678[[#This Row],[OpnAvwb]],"")),"")</f>
        <v/>
      </c>
      <c r="Y14" s="187" t="str">
        <f>IF(Tabel1353678[[#This Row],[Inkomsten-periode]]="",IF(Tabel1353678[[#This Row],[CdRdnEindArbov]]=33,0,IF(AND(OR(Tabel1353678[[#This Row],[SrtIV]]=13,Tabel1353678[[#This Row],[SrtIV]]=15,Tabel1353678[[#This Row],[SrtIV]]=31),OR(Tabel1353678[[#This Row],[CdAard]]=1,Tabel1353678[[#This Row],[CdAard]]=11,Tabel1353678[[#This Row],[CdAard]]=82,Tabel1353678[[#This Row],[CdAard]]=83)),Tabel1353678[[#This Row],[AantVerlU]],"")),"")</f>
        <v/>
      </c>
    </row>
    <row r="15" spans="1:38" ht="16.399999999999999" customHeight="1" thickBot="1" x14ac:dyDescent="0.3">
      <c r="A15" s="249"/>
      <c r="B15" s="250"/>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6.399999999999999" customHeight="1" x14ac:dyDescent="0.35">
      <c r="A16" s="249"/>
      <c r="B16" s="250"/>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249"/>
      <c r="B17" s="250"/>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249"/>
      <c r="B18" s="250"/>
      <c r="C18" s="200"/>
      <c r="D18" s="163">
        <f>D2</f>
        <v>1</v>
      </c>
      <c r="E18" s="150" t="str">
        <f>E2</f>
        <v>januari</v>
      </c>
      <c r="F18" s="151">
        <f>F2</f>
        <v>46388</v>
      </c>
      <c r="G18" s="151">
        <f>G2</f>
        <v>46418</v>
      </c>
      <c r="H18" s="188">
        <f t="shared" ref="H18:H30" si="1">IF(AND(W2="",Y2=""),"",MAX(W2,Y2))</f>
        <v>173</v>
      </c>
      <c r="I18" s="191">
        <f t="shared" ref="I18:I30" si="2">IF(AND(V2="",X2=""),"",MAX(V2,X2))</f>
        <v>2450</v>
      </c>
      <c r="J18" s="188">
        <f>IF($E18="","",IF($E19="",SUM(H18:H$30),H18))</f>
        <v>173</v>
      </c>
      <c r="K18" s="191">
        <f>IF($E18="","",IF($E19="",SUM(I18:I$30),I18))</f>
        <v>2450</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2450</v>
      </c>
      <c r="T18" s="157">
        <f t="shared" ref="T18:T30" si="10">IF(M18="","",J18+IF(AND(D18&lt;&gt;1, T17&lt;&gt;""),T17,0))</f>
        <v>173</v>
      </c>
      <c r="U18" s="157">
        <f t="shared" ref="U18:U30" si="11">IF(M18="","",R18+IF(AND(D18&lt;&gt;1, U17&lt;&gt;""),U17,0))</f>
        <v>173.33333333333334</v>
      </c>
      <c r="V18" s="158">
        <f>IF(M18="",0,T18/U18)</f>
        <v>0.99807692307692297</v>
      </c>
      <c r="W18" s="159">
        <f>IF(M18="","",VLOOKUP($B$6,rekenwaarden!M$8:N$12,2))</f>
        <v>9.4499999999999993</v>
      </c>
      <c r="X18" s="160">
        <f t="shared" ref="X18:X30" si="12">IF(M18="","",W18*J18)</f>
        <v>1634.85</v>
      </c>
      <c r="Y18" s="160">
        <f t="shared" ref="Y18:Y30" si="13">IF(M18="","",X18+IF(AND(D18&lt;&gt;1, Y17&lt;&gt;""),Y17,0))</f>
        <v>1634.85</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815.15000000000009</v>
      </c>
      <c r="AE18" s="160">
        <f t="shared" ref="AE18:AE30" si="17">IF(M18="","",AD18-IF(AND(D18&lt;&gt;1, AD17&lt;&gt;""),AD17,0))</f>
        <v>815.15000000000009</v>
      </c>
      <c r="AF18" s="160">
        <f>IF(OR($B$8="ONWAAR", M18=""), "", MAX(MIN(S18, AC18*MIN(1, V18))-AA18*MIN(1, V18), 0))</f>
        <v>0</v>
      </c>
      <c r="AG18" s="160">
        <f t="shared" ref="AG18:AG30" si="18">IF(OR(M18="", AF18=""),"",AF18-IF(AND(D18&lt;&gt;1, AF17&lt;&gt;""),AF17,0))</f>
        <v>0</v>
      </c>
      <c r="AH18" s="161">
        <f t="shared" ref="AH18:AH30" ca="1" si="19">IF($M18="", "", AE18*INDIRECT(CONCATENATE("premiepct", YEAR(F18))))</f>
        <v>242.09955000000002</v>
      </c>
      <c r="AI18" s="161">
        <f ca="1">IF(OR($F$4=FALSE, M18=""), "", AG18*INDIRECT(CONCATENATE("premiepct", YEAR($F18))))</f>
        <v>0</v>
      </c>
      <c r="AJ18" s="161"/>
      <c r="AK18" s="161"/>
      <c r="AL18" s="164">
        <f ca="1">IF(M18="","",SUM(AH18:AK18))</f>
        <v>242.09955000000002</v>
      </c>
    </row>
    <row r="19" spans="1:38" s="113" customFormat="1" ht="15.65" customHeight="1" x14ac:dyDescent="0.25">
      <c r="A19" s="249"/>
      <c r="B19" s="250"/>
      <c r="C19" s="200"/>
      <c r="D19" s="163">
        <f t="shared" ref="D19:G30" si="20">D3</f>
        <v>2</v>
      </c>
      <c r="E19" s="150" t="str">
        <f t="shared" si="20"/>
        <v>februari</v>
      </c>
      <c r="F19" s="151">
        <f t="shared" si="20"/>
        <v>46419</v>
      </c>
      <c r="G19" s="151">
        <f t="shared" si="20"/>
        <v>46446</v>
      </c>
      <c r="H19" s="189">
        <f t="shared" si="1"/>
        <v>173</v>
      </c>
      <c r="I19" s="192">
        <f t="shared" si="2"/>
        <v>2450</v>
      </c>
      <c r="J19" s="189">
        <f>IF($E19="","",IF($E20="",SUM(H19:H$30),H19))</f>
        <v>173</v>
      </c>
      <c r="K19" s="192">
        <f>IF($E19="","",IF($E20="",SUM(I19:I$30),I19))</f>
        <v>2450</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4900</v>
      </c>
      <c r="T19" s="157">
        <f t="shared" si="10"/>
        <v>346</v>
      </c>
      <c r="U19" s="157">
        <f t="shared" si="11"/>
        <v>346.66666666666669</v>
      </c>
      <c r="V19" s="158">
        <f t="shared" ref="V19:V30" si="22">IF(M19="","",T19/U19)</f>
        <v>0.99807692307692297</v>
      </c>
      <c r="W19" s="159">
        <f>IF(M19="","",VLOOKUP($B$6,rekenwaarden!M$8:N$12,2))</f>
        <v>9.4499999999999993</v>
      </c>
      <c r="X19" s="160">
        <f t="shared" si="12"/>
        <v>1634.85</v>
      </c>
      <c r="Y19" s="160">
        <f t="shared" si="13"/>
        <v>3269.7</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1630.3000000000002</v>
      </c>
      <c r="AE19" s="160">
        <f t="shared" si="17"/>
        <v>815.15000000000009</v>
      </c>
      <c r="AF19" s="160">
        <f t="shared" ref="AF19:AF30" si="23">IF(OR($B$8="ONWAAR", M19=""), "", MAX(MIN(S19, AC19*MIN(1, V19))-AA19*MIN(1, V19), 0))</f>
        <v>0</v>
      </c>
      <c r="AG19" s="160">
        <f t="shared" si="18"/>
        <v>0</v>
      </c>
      <c r="AH19" s="161">
        <f t="shared" ca="1" si="19"/>
        <v>242.09955000000002</v>
      </c>
      <c r="AI19" s="161">
        <f t="shared" ref="AI19:AI30" ca="1" si="24">IF(OR($F$4=FALSE, M19=""), "", AG19*INDIRECT(CONCATENATE("premiepct", YEAR($F19))))</f>
        <v>0</v>
      </c>
      <c r="AJ19" s="161"/>
      <c r="AK19" s="161"/>
      <c r="AL19" s="164">
        <f t="shared" ref="AL19:AL30" ca="1" si="25">IF(M19="","",SUM(AH19:AK19))</f>
        <v>242.09955000000002</v>
      </c>
    </row>
    <row r="20" spans="1:38" s="113" customFormat="1" ht="15.65" customHeight="1" x14ac:dyDescent="0.25">
      <c r="A20" s="249"/>
      <c r="B20" s="250"/>
      <c r="C20" s="200"/>
      <c r="D20" s="163">
        <f t="shared" si="20"/>
        <v>3</v>
      </c>
      <c r="E20" s="150" t="str">
        <f t="shared" si="20"/>
        <v>maart</v>
      </c>
      <c r="F20" s="151">
        <f t="shared" si="20"/>
        <v>46447</v>
      </c>
      <c r="G20" s="151">
        <f t="shared" si="20"/>
        <v>46477</v>
      </c>
      <c r="H20" s="188">
        <f t="shared" si="1"/>
        <v>173</v>
      </c>
      <c r="I20" s="191">
        <f t="shared" si="2"/>
        <v>2450</v>
      </c>
      <c r="J20" s="188">
        <f>IF($E20="","",IF($E21="",SUM(H20:H$30),H20))</f>
        <v>173</v>
      </c>
      <c r="K20" s="191">
        <f>IF($E20="","",IF($E21="",SUM(I20:I$30),I20))</f>
        <v>2450</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7350</v>
      </c>
      <c r="T20" s="157">
        <f t="shared" si="10"/>
        <v>519</v>
      </c>
      <c r="U20" s="157">
        <f t="shared" si="11"/>
        <v>520</v>
      </c>
      <c r="V20" s="158">
        <f t="shared" si="22"/>
        <v>0.99807692307692308</v>
      </c>
      <c r="W20" s="159">
        <f>IF(M20="","",VLOOKUP($B$6,rekenwaarden!M$8:N$12,2))</f>
        <v>9.4499999999999993</v>
      </c>
      <c r="X20" s="160">
        <f t="shared" si="12"/>
        <v>1634.85</v>
      </c>
      <c r="Y20" s="160">
        <f t="shared" si="13"/>
        <v>4904.5499999999993</v>
      </c>
      <c r="Z20" s="160">
        <f>IF(M20="","", VLOOKUP(B$6,rekenwaarden!M$8:T$12,3)*Q20)</f>
        <v>6617.4166666666661</v>
      </c>
      <c r="AA20" s="160">
        <f t="shared" si="14"/>
        <v>19852.25</v>
      </c>
      <c r="AB20" s="160">
        <f>IF(M20="","", VLOOKUP($B$6,rekenwaarden!M$8:T$12,4)*Q20)</f>
        <v>11483.333333333332</v>
      </c>
      <c r="AC20" s="160">
        <f t="shared" si="15"/>
        <v>34450</v>
      </c>
      <c r="AD20" s="160">
        <f t="shared" si="16"/>
        <v>2445.4500000000007</v>
      </c>
      <c r="AE20" s="160">
        <f t="shared" si="17"/>
        <v>815.15000000000055</v>
      </c>
      <c r="AF20" s="160">
        <f t="shared" si="23"/>
        <v>0</v>
      </c>
      <c r="AG20" s="160">
        <f t="shared" si="18"/>
        <v>0</v>
      </c>
      <c r="AH20" s="161">
        <f t="shared" ca="1" si="19"/>
        <v>242.09955000000016</v>
      </c>
      <c r="AI20" s="161">
        <f t="shared" ca="1" si="24"/>
        <v>0</v>
      </c>
      <c r="AJ20" s="161"/>
      <c r="AK20" s="161"/>
      <c r="AL20" s="164">
        <f t="shared" ca="1" si="25"/>
        <v>242.09955000000016</v>
      </c>
    </row>
    <row r="21" spans="1:38" s="113" customFormat="1" ht="15.65" customHeight="1" x14ac:dyDescent="0.25">
      <c r="A21" s="249"/>
      <c r="B21" s="250"/>
      <c r="C21" s="200"/>
      <c r="D21" s="163">
        <f t="shared" si="20"/>
        <v>4</v>
      </c>
      <c r="E21" s="150" t="str">
        <f t="shared" si="20"/>
        <v>april</v>
      </c>
      <c r="F21" s="151">
        <f t="shared" si="20"/>
        <v>46478</v>
      </c>
      <c r="G21" s="151">
        <f t="shared" si="20"/>
        <v>46507</v>
      </c>
      <c r="H21" s="189">
        <f t="shared" si="1"/>
        <v>173</v>
      </c>
      <c r="I21" s="192">
        <f t="shared" si="2"/>
        <v>2450</v>
      </c>
      <c r="J21" s="189">
        <f>IF($E21="","",IF($E22="",SUM(H21:H$30),H21))</f>
        <v>213</v>
      </c>
      <c r="K21" s="192">
        <f>IF($E21="","",IF($E22="",SUM(I21:I$30),I21))</f>
        <v>5170</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12520</v>
      </c>
      <c r="T21" s="157">
        <f t="shared" si="10"/>
        <v>732</v>
      </c>
      <c r="U21" s="157">
        <f t="shared" si="11"/>
        <v>693.33333333333337</v>
      </c>
      <c r="V21" s="158">
        <f t="shared" si="22"/>
        <v>1.0557692307692308</v>
      </c>
      <c r="W21" s="159">
        <f>IF(M21="","",VLOOKUP($B$6,rekenwaarden!M$8:N$12,2))</f>
        <v>9.4499999999999993</v>
      </c>
      <c r="X21" s="160">
        <f t="shared" si="12"/>
        <v>2012.85</v>
      </c>
      <c r="Y21" s="160">
        <f t="shared" si="13"/>
        <v>6917.4</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5602.6</v>
      </c>
      <c r="AE21" s="160">
        <f t="shared" si="17"/>
        <v>3157.1499999999996</v>
      </c>
      <c r="AF21" s="160">
        <f t="shared" si="23"/>
        <v>0</v>
      </c>
      <c r="AG21" s="160">
        <f t="shared" si="18"/>
        <v>0</v>
      </c>
      <c r="AH21" s="161">
        <f t="shared" ca="1" si="19"/>
        <v>937.67354999999986</v>
      </c>
      <c r="AI21" s="161">
        <f t="shared" ca="1" si="24"/>
        <v>0</v>
      </c>
      <c r="AJ21" s="161"/>
      <c r="AK21" s="161"/>
      <c r="AL21" s="164">
        <f t="shared" ca="1" si="25"/>
        <v>937.67354999999986</v>
      </c>
    </row>
    <row r="22" spans="1:38" s="113" customFormat="1" ht="15.65" customHeight="1" x14ac:dyDescent="0.25">
      <c r="A22" s="249"/>
      <c r="B22" s="250"/>
      <c r="C22" s="200"/>
      <c r="D22" s="163" t="str">
        <f t="shared" si="20"/>
        <v/>
      </c>
      <c r="E22" s="150" t="str">
        <f t="shared" si="20"/>
        <v/>
      </c>
      <c r="F22" s="151" t="str">
        <f t="shared" si="20"/>
        <v/>
      </c>
      <c r="G22" s="151" t="str">
        <f t="shared" si="20"/>
        <v/>
      </c>
      <c r="H22" s="188">
        <f t="shared" si="1"/>
        <v>40</v>
      </c>
      <c r="I22" s="191">
        <f t="shared" si="2"/>
        <v>2720</v>
      </c>
      <c r="J22" s="188" t="str">
        <f>IF($E22="","",IF($E23="",SUM(H22:H$30),H22))</f>
        <v/>
      </c>
      <c r="K22" s="191" t="str">
        <f>IF($E22="","",IF($E23="",SUM(I22:I$30),I22))</f>
        <v/>
      </c>
      <c r="L22" s="152" t="str">
        <f t="shared" si="3"/>
        <v/>
      </c>
      <c r="M22" s="151" t="str">
        <f t="shared" si="4"/>
        <v/>
      </c>
      <c r="N22" s="151" t="str">
        <f t="shared" si="5"/>
        <v/>
      </c>
      <c r="O22" s="150" t="str">
        <f t="shared" si="21"/>
        <v/>
      </c>
      <c r="P22" s="153" t="str">
        <f t="shared" si="6"/>
        <v/>
      </c>
      <c r="Q22" s="154" t="str">
        <f t="shared" si="7"/>
        <v/>
      </c>
      <c r="R22" s="155" t="str">
        <f t="shared" si="8"/>
        <v/>
      </c>
      <c r="S22" s="156" t="str">
        <f t="shared" si="9"/>
        <v/>
      </c>
      <c r="T22" s="157" t="str">
        <f t="shared" si="10"/>
        <v/>
      </c>
      <c r="U22" s="157" t="str">
        <f t="shared" si="11"/>
        <v/>
      </c>
      <c r="V22" s="158" t="str">
        <f t="shared" si="22"/>
        <v/>
      </c>
      <c r="W22" s="159" t="str">
        <f>IF(M22="","",VLOOKUP($B$6,rekenwaarden!M$8:N$12,2))</f>
        <v/>
      </c>
      <c r="X22" s="160" t="str">
        <f t="shared" si="12"/>
        <v/>
      </c>
      <c r="Y22" s="160" t="str">
        <f t="shared" si="13"/>
        <v/>
      </c>
      <c r="Z22" s="160" t="str">
        <f>IF(M22="","", VLOOKUP(B$6,rekenwaarden!M$8:T$12,3)*Q22)</f>
        <v/>
      </c>
      <c r="AA22" s="160" t="str">
        <f t="shared" si="14"/>
        <v/>
      </c>
      <c r="AB22" s="160" t="str">
        <f>IF(M22="","", VLOOKUP($B$6,rekenwaarden!M$8:T$12,4)*Q22)</f>
        <v/>
      </c>
      <c r="AC22" s="160" t="str">
        <f t="shared" si="15"/>
        <v/>
      </c>
      <c r="AD22" s="160" t="str">
        <f t="shared" si="16"/>
        <v/>
      </c>
      <c r="AE22" s="160" t="str">
        <f t="shared" si="17"/>
        <v/>
      </c>
      <c r="AF22" s="160" t="str">
        <f t="shared" si="23"/>
        <v/>
      </c>
      <c r="AG22" s="160" t="str">
        <f t="shared" si="18"/>
        <v/>
      </c>
      <c r="AH22" s="161" t="str">
        <f t="shared" ca="1" si="19"/>
        <v/>
      </c>
      <c r="AI22" s="161" t="str">
        <f t="shared" ca="1" si="24"/>
        <v/>
      </c>
      <c r="AJ22" s="161"/>
      <c r="AK22" s="161"/>
      <c r="AL22" s="164" t="str">
        <f t="shared" si="25"/>
        <v/>
      </c>
    </row>
    <row r="23" spans="1:38" s="113" customFormat="1" ht="15.65" customHeight="1" x14ac:dyDescent="0.25">
      <c r="A23" s="249"/>
      <c r="B23" s="250"/>
      <c r="C23" s="200"/>
      <c r="D23" s="163" t="str">
        <f t="shared" si="20"/>
        <v/>
      </c>
      <c r="E23" s="150" t="str">
        <f t="shared" si="20"/>
        <v/>
      </c>
      <c r="F23" s="151" t="str">
        <f t="shared" si="20"/>
        <v/>
      </c>
      <c r="G23" s="151" t="str">
        <f t="shared" si="20"/>
        <v/>
      </c>
      <c r="H23" s="189" t="str">
        <f t="shared" si="1"/>
        <v/>
      </c>
      <c r="I23" s="192" t="str">
        <f t="shared" si="2"/>
        <v/>
      </c>
      <c r="J23" s="189" t="str">
        <f>IF($E23="","",IF($E24="",SUM(H23:H$30),H23))</f>
        <v/>
      </c>
      <c r="K23" s="192" t="str">
        <f>IF($E23="","",IF($E24="",SUM(I23:I$30),I23))</f>
        <v/>
      </c>
      <c r="L23" s="152" t="str">
        <f t="shared" si="3"/>
        <v/>
      </c>
      <c r="M23" s="151" t="str">
        <f t="shared" si="4"/>
        <v/>
      </c>
      <c r="N23" s="151" t="str">
        <f t="shared" si="5"/>
        <v/>
      </c>
      <c r="O23" s="150" t="str">
        <f t="shared" si="21"/>
        <v/>
      </c>
      <c r="P23" s="153" t="str">
        <f t="shared" si="6"/>
        <v/>
      </c>
      <c r="Q23" s="154" t="str">
        <f t="shared" si="7"/>
        <v/>
      </c>
      <c r="R23" s="155" t="str">
        <f t="shared" si="8"/>
        <v/>
      </c>
      <c r="S23" s="156" t="str">
        <f t="shared" si="9"/>
        <v/>
      </c>
      <c r="T23" s="157" t="str">
        <f t="shared" si="10"/>
        <v/>
      </c>
      <c r="U23" s="157" t="str">
        <f t="shared" si="11"/>
        <v/>
      </c>
      <c r="V23" s="158" t="str">
        <f t="shared" si="22"/>
        <v/>
      </c>
      <c r="W23" s="159" t="str">
        <f>IF(M23="","",VLOOKUP($B$6,rekenwaarden!M$8:N$12,2))</f>
        <v/>
      </c>
      <c r="X23" s="160" t="str">
        <f t="shared" si="12"/>
        <v/>
      </c>
      <c r="Y23" s="160" t="str">
        <f t="shared" si="13"/>
        <v/>
      </c>
      <c r="Z23" s="160" t="str">
        <f>IF(M23="","", VLOOKUP(B$6,rekenwaarden!M$8:T$12,3)*Q23)</f>
        <v/>
      </c>
      <c r="AA23" s="160" t="str">
        <f t="shared" si="14"/>
        <v/>
      </c>
      <c r="AB23" s="160" t="str">
        <f>IF(M23="","", VLOOKUP($B$6,rekenwaarden!M$8:T$12,4)*Q23)</f>
        <v/>
      </c>
      <c r="AC23" s="160" t="str">
        <f t="shared" si="15"/>
        <v/>
      </c>
      <c r="AD23" s="160" t="str">
        <f t="shared" si="16"/>
        <v/>
      </c>
      <c r="AE23" s="160" t="str">
        <f t="shared" si="17"/>
        <v/>
      </c>
      <c r="AF23" s="160" t="str">
        <f t="shared" si="23"/>
        <v/>
      </c>
      <c r="AG23" s="160" t="str">
        <f t="shared" si="18"/>
        <v/>
      </c>
      <c r="AH23" s="161" t="str">
        <f t="shared" ca="1" si="19"/>
        <v/>
      </c>
      <c r="AI23" s="161" t="str">
        <f t="shared" ca="1" si="24"/>
        <v/>
      </c>
      <c r="AJ23" s="161"/>
      <c r="AK23" s="161"/>
      <c r="AL23" s="164" t="str">
        <f t="shared" si="25"/>
        <v/>
      </c>
    </row>
    <row r="24" spans="1:38" s="113" customFormat="1" ht="15.65" customHeight="1" x14ac:dyDescent="0.25">
      <c r="A24" s="249"/>
      <c r="B24" s="250"/>
      <c r="C24" s="200"/>
      <c r="D24" s="163" t="str">
        <f t="shared" si="20"/>
        <v/>
      </c>
      <c r="E24" s="150" t="str">
        <f t="shared" si="20"/>
        <v/>
      </c>
      <c r="F24" s="151" t="str">
        <f t="shared" si="20"/>
        <v/>
      </c>
      <c r="G24" s="151" t="str">
        <f t="shared" si="20"/>
        <v/>
      </c>
      <c r="H24" s="188" t="str">
        <f t="shared" si="1"/>
        <v/>
      </c>
      <c r="I24" s="191" t="str">
        <f t="shared" si="2"/>
        <v/>
      </c>
      <c r="J24" s="188" t="str">
        <f>IF($E24="","",IF($E25="",SUM(H24:H$30),H24))</f>
        <v/>
      </c>
      <c r="K24" s="191" t="str">
        <f>IF($E24="","",IF($E25="",SUM(I24:I$30),I24))</f>
        <v/>
      </c>
      <c r="L24" s="152" t="str">
        <f t="shared" si="3"/>
        <v/>
      </c>
      <c r="M24" s="151" t="str">
        <f t="shared" si="4"/>
        <v/>
      </c>
      <c r="N24" s="151" t="str">
        <f t="shared" si="5"/>
        <v/>
      </c>
      <c r="O24" s="150" t="str">
        <f t="shared" si="21"/>
        <v/>
      </c>
      <c r="P24" s="153" t="str">
        <f t="shared" si="6"/>
        <v/>
      </c>
      <c r="Q24" s="154" t="str">
        <f t="shared" si="7"/>
        <v/>
      </c>
      <c r="R24" s="155" t="str">
        <f t="shared" si="8"/>
        <v/>
      </c>
      <c r="S24" s="156" t="str">
        <f t="shared" si="9"/>
        <v/>
      </c>
      <c r="T24" s="157" t="str">
        <f t="shared" si="10"/>
        <v/>
      </c>
      <c r="U24" s="157" t="str">
        <f t="shared" si="11"/>
        <v/>
      </c>
      <c r="V24" s="158" t="str">
        <f t="shared" si="22"/>
        <v/>
      </c>
      <c r="W24" s="159" t="str">
        <f>IF(M24="","",VLOOKUP($B$6,rekenwaarden!M$8:N$12,2))</f>
        <v/>
      </c>
      <c r="X24" s="160" t="str">
        <f t="shared" si="12"/>
        <v/>
      </c>
      <c r="Y24" s="160" t="str">
        <f t="shared" si="13"/>
        <v/>
      </c>
      <c r="Z24" s="160" t="str">
        <f>IF(M24="","", VLOOKUP(B$6,rekenwaarden!M$8:T$12,3)*Q24)</f>
        <v/>
      </c>
      <c r="AA24" s="160" t="str">
        <f t="shared" si="14"/>
        <v/>
      </c>
      <c r="AB24" s="160" t="str">
        <f>IF(M24="","", VLOOKUP($B$6,rekenwaarden!M$8:T$12,4)*Q24)</f>
        <v/>
      </c>
      <c r="AC24" s="160" t="str">
        <f t="shared" si="15"/>
        <v/>
      </c>
      <c r="AD24" s="160" t="str">
        <f t="shared" si="16"/>
        <v/>
      </c>
      <c r="AE24" s="160" t="str">
        <f t="shared" si="17"/>
        <v/>
      </c>
      <c r="AF24" s="160" t="str">
        <f t="shared" si="23"/>
        <v/>
      </c>
      <c r="AG24" s="160" t="str">
        <f t="shared" si="18"/>
        <v/>
      </c>
      <c r="AH24" s="161" t="str">
        <f t="shared" ca="1" si="19"/>
        <v/>
      </c>
      <c r="AI24" s="161" t="str">
        <f t="shared" ca="1" si="24"/>
        <v/>
      </c>
      <c r="AJ24" s="161"/>
      <c r="AK24" s="161"/>
      <c r="AL24" s="164" t="str">
        <f t="shared" si="25"/>
        <v/>
      </c>
    </row>
    <row r="25" spans="1:38" s="113" customFormat="1" ht="15.65" customHeight="1" x14ac:dyDescent="0.25">
      <c r="A25" s="249"/>
      <c r="B25" s="250"/>
      <c r="C25" s="200"/>
      <c r="D25" s="163" t="str">
        <f t="shared" si="20"/>
        <v/>
      </c>
      <c r="E25" s="150" t="str">
        <f t="shared" si="20"/>
        <v/>
      </c>
      <c r="F25" s="151" t="str">
        <f t="shared" si="20"/>
        <v/>
      </c>
      <c r="G25" s="151" t="str">
        <f t="shared" si="20"/>
        <v/>
      </c>
      <c r="H25" s="189" t="str">
        <f t="shared" si="1"/>
        <v/>
      </c>
      <c r="I25" s="192" t="str">
        <f t="shared" si="2"/>
        <v/>
      </c>
      <c r="J25" s="189" t="str">
        <f>IF($E25="","",IF($E26="",SUM(H25:H$30),H25))</f>
        <v/>
      </c>
      <c r="K25" s="192" t="str">
        <f>IF($E25="","",IF($E26="",SUM(I25:I$30),I25))</f>
        <v/>
      </c>
      <c r="L25" s="152" t="str">
        <f t="shared" si="3"/>
        <v/>
      </c>
      <c r="M25" s="151" t="str">
        <f t="shared" si="4"/>
        <v/>
      </c>
      <c r="N25" s="151" t="str">
        <f t="shared" si="5"/>
        <v/>
      </c>
      <c r="O25" s="150" t="str">
        <f t="shared" si="21"/>
        <v/>
      </c>
      <c r="P25" s="153" t="str">
        <f t="shared" si="6"/>
        <v/>
      </c>
      <c r="Q25" s="154" t="str">
        <f t="shared" si="7"/>
        <v/>
      </c>
      <c r="R25" s="155" t="str">
        <f t="shared" si="8"/>
        <v/>
      </c>
      <c r="S25" s="156" t="str">
        <f t="shared" si="9"/>
        <v/>
      </c>
      <c r="T25" s="157" t="str">
        <f t="shared" si="10"/>
        <v/>
      </c>
      <c r="U25" s="157" t="str">
        <f t="shared" si="11"/>
        <v/>
      </c>
      <c r="V25" s="158" t="str">
        <f t="shared" si="22"/>
        <v/>
      </c>
      <c r="W25" s="159" t="str">
        <f>IF(M25="","",VLOOKUP($B$6,rekenwaarden!M$8:N$12,2))</f>
        <v/>
      </c>
      <c r="X25" s="160" t="str">
        <f t="shared" si="12"/>
        <v/>
      </c>
      <c r="Y25" s="160" t="str">
        <f t="shared" si="13"/>
        <v/>
      </c>
      <c r="Z25" s="160" t="str">
        <f>IF(M25="","", VLOOKUP(B$6,rekenwaarden!M$8:T$12,3)*Q25)</f>
        <v/>
      </c>
      <c r="AA25" s="160" t="str">
        <f t="shared" si="14"/>
        <v/>
      </c>
      <c r="AB25" s="160" t="str">
        <f>IF(M25="","", VLOOKUP($B$6,rekenwaarden!M$8:T$12,4)*Q25)</f>
        <v/>
      </c>
      <c r="AC25" s="160" t="str">
        <f t="shared" si="15"/>
        <v/>
      </c>
      <c r="AD25" s="160" t="str">
        <f t="shared" si="16"/>
        <v/>
      </c>
      <c r="AE25" s="160" t="str">
        <f t="shared" si="17"/>
        <v/>
      </c>
      <c r="AF25" s="160" t="str">
        <f t="shared" si="23"/>
        <v/>
      </c>
      <c r="AG25" s="160" t="str">
        <f t="shared" si="18"/>
        <v/>
      </c>
      <c r="AH25" s="161" t="str">
        <f t="shared" ca="1" si="19"/>
        <v/>
      </c>
      <c r="AI25" s="161" t="str">
        <f t="shared" ca="1" si="24"/>
        <v/>
      </c>
      <c r="AJ25" s="161"/>
      <c r="AK25" s="161"/>
      <c r="AL25" s="164" t="str">
        <f t="shared" si="25"/>
        <v/>
      </c>
    </row>
    <row r="26" spans="1:38" s="113" customFormat="1" ht="15.65" customHeight="1" x14ac:dyDescent="0.25">
      <c r="A26" s="125"/>
      <c r="B26" s="126"/>
      <c r="C26" s="200"/>
      <c r="D26" s="163" t="str">
        <f t="shared" si="20"/>
        <v/>
      </c>
      <c r="E26" s="150" t="str">
        <f t="shared" si="20"/>
        <v/>
      </c>
      <c r="F26" s="151" t="str">
        <f t="shared" si="20"/>
        <v/>
      </c>
      <c r="G26" s="151" t="str">
        <f t="shared" si="20"/>
        <v/>
      </c>
      <c r="H26" s="188" t="str">
        <f t="shared" si="1"/>
        <v/>
      </c>
      <c r="I26" s="191" t="str">
        <f t="shared" si="2"/>
        <v/>
      </c>
      <c r="J26" s="188" t="str">
        <f>IF($E26="","",IF($E27="",SUM(H26:H$30),H26))</f>
        <v/>
      </c>
      <c r="K26" s="191" t="str">
        <f>IF($E26="","",IF($E27="",SUM(I26:I$30),I26))</f>
        <v/>
      </c>
      <c r="L26" s="152" t="str">
        <f t="shared" si="3"/>
        <v/>
      </c>
      <c r="M26" s="151" t="str">
        <f t="shared" si="4"/>
        <v/>
      </c>
      <c r="N26" s="151" t="str">
        <f t="shared" si="5"/>
        <v/>
      </c>
      <c r="O26" s="150" t="str">
        <f t="shared" si="21"/>
        <v/>
      </c>
      <c r="P26" s="153" t="str">
        <f t="shared" si="6"/>
        <v/>
      </c>
      <c r="Q26" s="154" t="str">
        <f t="shared" si="7"/>
        <v/>
      </c>
      <c r="R26" s="155" t="str">
        <f t="shared" si="8"/>
        <v/>
      </c>
      <c r="S26" s="156" t="str">
        <f t="shared" si="9"/>
        <v/>
      </c>
      <c r="T26" s="157" t="str">
        <f t="shared" si="10"/>
        <v/>
      </c>
      <c r="U26" s="157" t="str">
        <f t="shared" si="11"/>
        <v/>
      </c>
      <c r="V26" s="158" t="str">
        <f t="shared" si="22"/>
        <v/>
      </c>
      <c r="W26" s="159" t="str">
        <f>IF(M26="","",VLOOKUP($B$6,rekenwaarden!M$8:N$12,2))</f>
        <v/>
      </c>
      <c r="X26" s="160" t="str">
        <f t="shared" si="12"/>
        <v/>
      </c>
      <c r="Y26" s="160" t="str">
        <f t="shared" si="13"/>
        <v/>
      </c>
      <c r="Z26" s="160" t="str">
        <f>IF(M26="","", VLOOKUP(B$6,rekenwaarden!M$8:T$12,3)*Q26)</f>
        <v/>
      </c>
      <c r="AA26" s="160" t="str">
        <f t="shared" si="14"/>
        <v/>
      </c>
      <c r="AB26" s="160" t="str">
        <f>IF(M26="","", VLOOKUP($B$6,rekenwaarden!M$8:T$12,4)*Q26)</f>
        <v/>
      </c>
      <c r="AC26" s="160" t="str">
        <f t="shared" si="15"/>
        <v/>
      </c>
      <c r="AD26" s="160" t="str">
        <f t="shared" si="16"/>
        <v/>
      </c>
      <c r="AE26" s="160" t="str">
        <f t="shared" si="17"/>
        <v/>
      </c>
      <c r="AF26" s="160" t="str">
        <f t="shared" si="23"/>
        <v/>
      </c>
      <c r="AG26" s="160" t="str">
        <f t="shared" si="18"/>
        <v/>
      </c>
      <c r="AH26" s="161" t="str">
        <f t="shared" ca="1" si="19"/>
        <v/>
      </c>
      <c r="AI26" s="161" t="str">
        <f t="shared" ca="1" si="24"/>
        <v/>
      </c>
      <c r="AJ26" s="161"/>
      <c r="AK26" s="161"/>
      <c r="AL26" s="164" t="str">
        <f t="shared" si="25"/>
        <v/>
      </c>
    </row>
    <row r="27" spans="1:38" s="113" customFormat="1" ht="15.65" customHeight="1" x14ac:dyDescent="0.25">
      <c r="A27" s="125"/>
      <c r="B27" s="126"/>
      <c r="C27" s="200"/>
      <c r="D27" s="163" t="str">
        <f t="shared" si="20"/>
        <v/>
      </c>
      <c r="E27" s="150" t="str">
        <f t="shared" si="20"/>
        <v/>
      </c>
      <c r="F27" s="151" t="str">
        <f t="shared" si="20"/>
        <v/>
      </c>
      <c r="G27" s="151" t="str">
        <f t="shared" si="20"/>
        <v/>
      </c>
      <c r="H27" s="189" t="str">
        <f t="shared" si="1"/>
        <v/>
      </c>
      <c r="I27" s="192" t="str">
        <f t="shared" si="2"/>
        <v/>
      </c>
      <c r="J27" s="189" t="str">
        <f>IF($E27="","",IF($E28="",SUM(H27:H$30),H27))</f>
        <v/>
      </c>
      <c r="K27" s="192" t="str">
        <f>IF($E27="","",IF($E28="",SUM(I27:I$30),I27))</f>
        <v/>
      </c>
      <c r="L27" s="152" t="str">
        <f t="shared" si="3"/>
        <v/>
      </c>
      <c r="M27" s="151" t="str">
        <f t="shared" si="4"/>
        <v/>
      </c>
      <c r="N27" s="151" t="str">
        <f t="shared" si="5"/>
        <v/>
      </c>
      <c r="O27" s="150" t="str">
        <f t="shared" si="21"/>
        <v/>
      </c>
      <c r="P27" s="153" t="str">
        <f t="shared" si="6"/>
        <v/>
      </c>
      <c r="Q27" s="154" t="str">
        <f t="shared" si="7"/>
        <v/>
      </c>
      <c r="R27" s="155" t="str">
        <f t="shared" si="8"/>
        <v/>
      </c>
      <c r="S27" s="156" t="str">
        <f t="shared" si="9"/>
        <v/>
      </c>
      <c r="T27" s="157" t="str">
        <f t="shared" si="10"/>
        <v/>
      </c>
      <c r="U27" s="157" t="str">
        <f t="shared" si="11"/>
        <v/>
      </c>
      <c r="V27" s="158" t="str">
        <f t="shared" si="22"/>
        <v/>
      </c>
      <c r="W27" s="159" t="str">
        <f>IF(M27="","",VLOOKUP($B$6,rekenwaarden!M$8:N$12,2))</f>
        <v/>
      </c>
      <c r="X27" s="160" t="str">
        <f t="shared" si="12"/>
        <v/>
      </c>
      <c r="Y27" s="160" t="str">
        <f t="shared" si="13"/>
        <v/>
      </c>
      <c r="Z27" s="160" t="str">
        <f>IF(M27="","", VLOOKUP(B$6,rekenwaarden!M$8:T$12,3)*Q27)</f>
        <v/>
      </c>
      <c r="AA27" s="160" t="str">
        <f t="shared" si="14"/>
        <v/>
      </c>
      <c r="AB27" s="160" t="str">
        <f>IF(M27="","", VLOOKUP($B$6,rekenwaarden!M$8:T$12,4)*Q27)</f>
        <v/>
      </c>
      <c r="AC27" s="160" t="str">
        <f t="shared" si="15"/>
        <v/>
      </c>
      <c r="AD27" s="160" t="str">
        <f t="shared" si="16"/>
        <v/>
      </c>
      <c r="AE27" s="160" t="str">
        <f t="shared" si="17"/>
        <v/>
      </c>
      <c r="AF27" s="160" t="str">
        <f t="shared" si="23"/>
        <v/>
      </c>
      <c r="AG27" s="160" t="str">
        <f t="shared" si="18"/>
        <v/>
      </c>
      <c r="AH27" s="161" t="str">
        <f t="shared" ca="1" si="19"/>
        <v/>
      </c>
      <c r="AI27" s="161" t="str">
        <f t="shared" ca="1" si="24"/>
        <v/>
      </c>
      <c r="AJ27" s="161"/>
      <c r="AK27" s="161"/>
      <c r="AL27" s="164" t="str">
        <f t="shared" si="25"/>
        <v/>
      </c>
    </row>
    <row r="28" spans="1:38" s="113" customFormat="1" ht="15.65" customHeight="1" x14ac:dyDescent="0.25">
      <c r="A28" s="125"/>
      <c r="B28" s="126"/>
      <c r="C28" s="200"/>
      <c r="D28" s="163" t="str">
        <f t="shared" si="20"/>
        <v/>
      </c>
      <c r="E28" s="150" t="str">
        <f t="shared" si="20"/>
        <v/>
      </c>
      <c r="F28" s="151" t="str">
        <f t="shared" si="20"/>
        <v/>
      </c>
      <c r="G28" s="151" t="str">
        <f t="shared" si="20"/>
        <v/>
      </c>
      <c r="H28" s="188" t="str">
        <f t="shared" si="1"/>
        <v/>
      </c>
      <c r="I28" s="191" t="str">
        <f t="shared" si="2"/>
        <v/>
      </c>
      <c r="J28" s="188" t="str">
        <f>IF($E28="","",IF($E29="",SUM(H28:H$30),H28))</f>
        <v/>
      </c>
      <c r="K28" s="191" t="str">
        <f>IF($E28="","",IF($E29="",SUM(I28:I$30),I28))</f>
        <v/>
      </c>
      <c r="L28" s="152" t="str">
        <f t="shared" si="3"/>
        <v/>
      </c>
      <c r="M28" s="151" t="str">
        <f t="shared" si="4"/>
        <v/>
      </c>
      <c r="N28" s="151" t="str">
        <f t="shared" si="5"/>
        <v/>
      </c>
      <c r="O28" s="150" t="str">
        <f t="shared" si="21"/>
        <v/>
      </c>
      <c r="P28" s="153" t="str">
        <f t="shared" si="6"/>
        <v/>
      </c>
      <c r="Q28" s="154" t="str">
        <f t="shared" si="7"/>
        <v/>
      </c>
      <c r="R28" s="155" t="str">
        <f t="shared" si="8"/>
        <v/>
      </c>
      <c r="S28" s="156" t="str">
        <f t="shared" si="9"/>
        <v/>
      </c>
      <c r="T28" s="157" t="str">
        <f t="shared" si="10"/>
        <v/>
      </c>
      <c r="U28" s="157" t="str">
        <f t="shared" si="11"/>
        <v/>
      </c>
      <c r="V28" s="158" t="str">
        <f t="shared" si="22"/>
        <v/>
      </c>
      <c r="W28" s="159" t="str">
        <f>IF(M28="","",VLOOKUP($B$6,rekenwaarden!M$8:N$12,2))</f>
        <v/>
      </c>
      <c r="X28" s="160" t="str">
        <f t="shared" si="12"/>
        <v/>
      </c>
      <c r="Y28" s="160" t="str">
        <f t="shared" si="13"/>
        <v/>
      </c>
      <c r="Z28" s="160" t="str">
        <f>IF(M28="","", VLOOKUP(B$6,rekenwaarden!M$8:T$12,3)*Q28)</f>
        <v/>
      </c>
      <c r="AA28" s="160" t="str">
        <f t="shared" si="14"/>
        <v/>
      </c>
      <c r="AB28" s="160" t="str">
        <f>IF(M28="","", VLOOKUP($B$6,rekenwaarden!M$8:T$12,4)*Q28)</f>
        <v/>
      </c>
      <c r="AC28" s="160" t="str">
        <f t="shared" si="15"/>
        <v/>
      </c>
      <c r="AD28" s="160" t="str">
        <f t="shared" si="16"/>
        <v/>
      </c>
      <c r="AE28" s="160" t="str">
        <f t="shared" si="17"/>
        <v/>
      </c>
      <c r="AF28" s="160" t="str">
        <f t="shared" si="23"/>
        <v/>
      </c>
      <c r="AG28" s="160" t="str">
        <f t="shared" si="18"/>
        <v/>
      </c>
      <c r="AH28" s="161" t="str">
        <f t="shared" ca="1" si="19"/>
        <v/>
      </c>
      <c r="AI28" s="161" t="str">
        <f t="shared" ca="1" si="24"/>
        <v/>
      </c>
      <c r="AJ28" s="161"/>
      <c r="AK28" s="161"/>
      <c r="AL28" s="164" t="str">
        <f t="shared" si="25"/>
        <v/>
      </c>
    </row>
    <row r="29" spans="1:38" s="113" customFormat="1" ht="15.65" customHeight="1" x14ac:dyDescent="0.25">
      <c r="A29" s="125"/>
      <c r="B29" s="126"/>
      <c r="C29" s="200"/>
      <c r="D29" s="163" t="str">
        <f t="shared" si="20"/>
        <v/>
      </c>
      <c r="E29" s="150" t="str">
        <f t="shared" si="20"/>
        <v/>
      </c>
      <c r="F29" s="151" t="str">
        <f t="shared" si="20"/>
        <v/>
      </c>
      <c r="G29" s="151" t="str">
        <f t="shared" si="20"/>
        <v/>
      </c>
      <c r="H29" s="189" t="str">
        <f t="shared" si="1"/>
        <v/>
      </c>
      <c r="I29" s="192" t="str">
        <f t="shared" si="2"/>
        <v/>
      </c>
      <c r="J29" s="189" t="str">
        <f>IF($E29="","",IF($E30="",SUM(H29:H$30),H29))</f>
        <v/>
      </c>
      <c r="K29" s="192" t="str">
        <f>IF($E29="","",IF($E30="",SUM(I29:I$30),I29))</f>
        <v/>
      </c>
      <c r="L29" s="152" t="str">
        <f t="shared" si="3"/>
        <v/>
      </c>
      <c r="M29" s="151" t="str">
        <f t="shared" si="4"/>
        <v/>
      </c>
      <c r="N29" s="151" t="str">
        <f t="shared" si="5"/>
        <v/>
      </c>
      <c r="O29" s="150" t="str">
        <f t="shared" si="21"/>
        <v/>
      </c>
      <c r="P29" s="153" t="str">
        <f t="shared" si="6"/>
        <v/>
      </c>
      <c r="Q29" s="154" t="str">
        <f t="shared" si="7"/>
        <v/>
      </c>
      <c r="R29" s="155" t="str">
        <f t="shared" si="8"/>
        <v/>
      </c>
      <c r="S29" s="156" t="str">
        <f t="shared" si="9"/>
        <v/>
      </c>
      <c r="T29" s="157" t="str">
        <f t="shared" si="10"/>
        <v/>
      </c>
      <c r="U29" s="157" t="str">
        <f t="shared" si="11"/>
        <v/>
      </c>
      <c r="V29" s="158" t="str">
        <f t="shared" si="22"/>
        <v/>
      </c>
      <c r="W29" s="159" t="str">
        <f>IF(M29="","",VLOOKUP($B$6,rekenwaarden!M$8:N$12,2))</f>
        <v/>
      </c>
      <c r="X29" s="160" t="str">
        <f t="shared" si="12"/>
        <v/>
      </c>
      <c r="Y29" s="160" t="str">
        <f t="shared" si="13"/>
        <v/>
      </c>
      <c r="Z29" s="160" t="str">
        <f>IF(M29="","", VLOOKUP(B$6,rekenwaarden!M$8:T$12,3)*Q29)</f>
        <v/>
      </c>
      <c r="AA29" s="160" t="str">
        <f t="shared" si="14"/>
        <v/>
      </c>
      <c r="AB29" s="160" t="str">
        <f>IF(M29="","", VLOOKUP($B$6,rekenwaarden!M$8:T$12,4)*Q29)</f>
        <v/>
      </c>
      <c r="AC29" s="160" t="str">
        <f t="shared" si="15"/>
        <v/>
      </c>
      <c r="AD29" s="160" t="str">
        <f t="shared" si="16"/>
        <v/>
      </c>
      <c r="AE29" s="160" t="str">
        <f t="shared" si="17"/>
        <v/>
      </c>
      <c r="AF29" s="160" t="str">
        <f t="shared" si="23"/>
        <v/>
      </c>
      <c r="AG29" s="160" t="str">
        <f t="shared" si="18"/>
        <v/>
      </c>
      <c r="AH29" s="161" t="str">
        <f t="shared" ca="1" si="19"/>
        <v/>
      </c>
      <c r="AI29" s="161" t="str">
        <f t="shared" ca="1" si="24"/>
        <v/>
      </c>
      <c r="AJ29" s="161"/>
      <c r="AK29" s="161"/>
      <c r="AL29" s="164" t="str">
        <f t="shared" si="25"/>
        <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sheetData>
  <sheetProtection algorithmName="SHA-512" hashValue="WndsGjwtFYUWNCxlRw02K9Pn6rW0MnqZVpmIkYrc+q+S8/dIvoFAENGHmh26gKtZJ258NUtNZHjljK2jP7svzg==" saltValue="1KXwCthtiA95kCbVgyx9rw==" spinCount="100000" sheet="1" objects="1" scenarios="1"/>
  <protectedRanges>
    <protectedRange sqref="K2:U14" name="Loonaangiftebericht"/>
    <protectedRange sqref="B1:B9" name="Persoon en IKV"/>
  </protectedRanges>
  <mergeCells count="3">
    <mergeCell ref="A11:B11"/>
    <mergeCell ref="A12:B25"/>
    <mergeCell ref="D17:E17"/>
  </mergeCells>
  <dataValidations count="8">
    <dataValidation type="whole" allowBlank="1" showInputMessage="1" showErrorMessage="1" promptTitle="Handboek Loonheffingen: " prompt="Rekenkundig afgeronde hele uren" sqref="N2:N14" xr:uid="{7E549059-A12B-43F6-9545-E3F8A7E57804}">
      <formula1>-999</formula1>
      <formula2>999</formula2>
    </dataValidation>
    <dataValidation type="list" allowBlank="1" showInputMessage="1" showErrorMessage="1" sqref="K2:K14" xr:uid="{9F7301B2-412B-4A87-80B8-30954D7D36EF}">
      <formula1>Code_Reden_Einde_Arbeidsverhouding</formula1>
    </dataValidation>
    <dataValidation type="list" allowBlank="1" showInputMessage="1" showErrorMessage="1" sqref="M2:M14" xr:uid="{8EEEF5E9-E487-4782-B026-F6F00D706751}">
      <formula1>Code_Aard_Arbeidsverhouding</formula1>
    </dataValidation>
    <dataValidation type="list" allowBlank="1" showInputMessage="1" showErrorMessage="1" sqref="L2:L14" xr:uid="{1B3A3DBE-09BF-420B-A1AF-F50B63A545E0}">
      <formula1>Code_Soort_IKV</formula1>
    </dataValidation>
    <dataValidation type="list" allowBlank="1" showInputMessage="1" showErrorMessage="1" sqref="C2" xr:uid="{833EC9F8-5A53-4F46-9325-18398A3583F7}">
      <formula1>"maandelijks,vierwekelijks"</formula1>
    </dataValidation>
    <dataValidation type="list" allowBlank="1" showInputMessage="1" showErrorMessage="1" sqref="B1:C1" xr:uid="{30E535AD-355A-4936-8D17-88D10B034210}">
      <formula1>"2027,2028"</formula1>
    </dataValidation>
    <dataValidation type="list" allowBlank="1" showInputMessage="1" showErrorMessage="1" sqref="B8:C8" xr:uid="{1650A7C0-FAD7-449A-A3DE-4225436DB713}">
      <formula1>"WAAR,NIET WAAR"</formula1>
    </dataValidation>
    <dataValidation type="list" allowBlank="1" showInputMessage="1" showErrorMessage="1" sqref="B2" xr:uid="{7F19C0B1-DB50-48A6-919A-D3221FC5E60C}">
      <formula1>"Maandelijks,Vierwekelijks"</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B2A061C-91F8-47A4-8A81-ADF3C8A1B14F}">
          <x14:formula1>
            <xm:f>rekenwaarden!$M$8:$M$12</xm:f>
          </x14:formula1>
          <xm:sqref>B6:C6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9AC71-0E0B-423E-809F-BB35760FB43B}">
  <sheetPr>
    <tabColor theme="3"/>
    <pageSetUpPr fitToPage="1"/>
  </sheetPr>
  <dimension ref="A1:K20"/>
  <sheetViews>
    <sheetView showGridLines="0" tabSelected="1" zoomScaleNormal="100" workbookViewId="0">
      <pane xSplit="2" ySplit="2" topLeftCell="C3" activePane="bottomRight" state="frozen"/>
      <selection pane="topRight" activeCell="C1" sqref="C1"/>
      <selection pane="bottomLeft" activeCell="A3" sqref="A3"/>
      <selection pane="bottomRight" activeCell="B3" sqref="B3"/>
    </sheetView>
  </sheetViews>
  <sheetFormatPr defaultColWidth="8.81640625" defaultRowHeight="55" customHeight="1" x14ac:dyDescent="0.25"/>
  <cols>
    <col min="1" max="1" width="8.81640625" style="215"/>
    <col min="2" max="2" width="41.26953125" style="214" customWidth="1"/>
    <col min="3" max="3" width="4.81640625" style="214" customWidth="1"/>
    <col min="4" max="4" width="30.81640625" style="216" customWidth="1"/>
    <col min="5" max="5" width="4.81640625" style="214" customWidth="1"/>
    <col min="6" max="6" width="30.81640625" style="214" customWidth="1"/>
    <col min="7" max="7" width="4.81640625" style="214" customWidth="1"/>
    <col min="8" max="8" width="30.81640625" style="214" customWidth="1"/>
    <col min="9" max="9" width="4.81640625" style="214" customWidth="1"/>
    <col min="10" max="10" width="30.54296875" style="214" customWidth="1"/>
    <col min="11" max="11" width="62.81640625" style="216" customWidth="1"/>
    <col min="12" max="16384" width="8.81640625" style="214"/>
  </cols>
  <sheetData>
    <row r="1" spans="1:11" ht="21.65" customHeight="1" x14ac:dyDescent="0.25">
      <c r="A1" s="233" t="s">
        <v>72</v>
      </c>
      <c r="B1" s="234"/>
      <c r="C1" s="239" t="s">
        <v>73</v>
      </c>
      <c r="D1" s="240"/>
      <c r="E1" s="240"/>
      <c r="F1" s="240"/>
      <c r="G1" s="240"/>
      <c r="H1" s="240"/>
      <c r="I1" s="240"/>
      <c r="J1" s="241"/>
      <c r="K1" s="231" t="s">
        <v>74</v>
      </c>
    </row>
    <row r="2" spans="1:11" ht="30.65" customHeight="1" x14ac:dyDescent="0.25">
      <c r="A2" s="235"/>
      <c r="B2" s="236"/>
      <c r="C2" s="237" t="s">
        <v>75</v>
      </c>
      <c r="D2" s="238"/>
      <c r="E2" s="237" t="s">
        <v>76</v>
      </c>
      <c r="F2" s="238"/>
      <c r="G2" s="237" t="s">
        <v>77</v>
      </c>
      <c r="H2" s="238"/>
      <c r="I2" s="237" t="s">
        <v>78</v>
      </c>
      <c r="J2" s="238"/>
      <c r="K2" s="232"/>
    </row>
    <row r="3" spans="1:11" ht="55" customHeight="1" x14ac:dyDescent="0.25">
      <c r="A3" s="218" t="s">
        <v>79</v>
      </c>
      <c r="B3" s="219" t="s">
        <v>80</v>
      </c>
      <c r="C3" s="220" t="s">
        <v>81</v>
      </c>
      <c r="D3" s="221" t="s">
        <v>82</v>
      </c>
      <c r="E3" s="220" t="s">
        <v>83</v>
      </c>
      <c r="F3" s="222" t="s">
        <v>84</v>
      </c>
      <c r="G3" s="220" t="s">
        <v>83</v>
      </c>
      <c r="H3" s="222" t="s">
        <v>85</v>
      </c>
      <c r="I3" s="220" t="s">
        <v>83</v>
      </c>
      <c r="J3" s="222" t="s">
        <v>85</v>
      </c>
      <c r="K3" s="219" t="s">
        <v>86</v>
      </c>
    </row>
    <row r="4" spans="1:11" ht="55" customHeight="1" x14ac:dyDescent="0.25">
      <c r="A4" s="223" t="s">
        <v>87</v>
      </c>
      <c r="B4" s="224" t="s">
        <v>88</v>
      </c>
      <c r="C4" s="225" t="s">
        <v>81</v>
      </c>
      <c r="D4" s="226" t="s">
        <v>89</v>
      </c>
      <c r="E4" s="225" t="s">
        <v>81</v>
      </c>
      <c r="F4" s="226" t="s">
        <v>90</v>
      </c>
      <c r="G4" s="225" t="s">
        <v>83</v>
      </c>
      <c r="H4" s="226" t="s">
        <v>91</v>
      </c>
      <c r="I4" s="225" t="s">
        <v>83</v>
      </c>
      <c r="J4" s="226" t="s">
        <v>92</v>
      </c>
      <c r="K4" s="224" t="s">
        <v>93</v>
      </c>
    </row>
    <row r="5" spans="1:11" ht="55" customHeight="1" x14ac:dyDescent="0.25">
      <c r="A5" s="223" t="s">
        <v>94</v>
      </c>
      <c r="B5" s="224" t="s">
        <v>95</v>
      </c>
      <c r="C5" s="225" t="s">
        <v>96</v>
      </c>
      <c r="D5" s="226" t="s">
        <v>97</v>
      </c>
      <c r="E5" s="225" t="s">
        <v>96</v>
      </c>
      <c r="F5" s="226" t="s">
        <v>98</v>
      </c>
      <c r="G5" s="225" t="s">
        <v>83</v>
      </c>
      <c r="H5" s="226" t="s">
        <v>91</v>
      </c>
      <c r="I5" s="225" t="s">
        <v>83</v>
      </c>
      <c r="J5" s="226" t="s">
        <v>92</v>
      </c>
      <c r="K5" s="224" t="s">
        <v>99</v>
      </c>
    </row>
    <row r="6" spans="1:11" ht="55" customHeight="1" x14ac:dyDescent="0.25">
      <c r="A6" s="223" t="s">
        <v>100</v>
      </c>
      <c r="B6" s="227" t="s">
        <v>101</v>
      </c>
      <c r="C6" s="225" t="s">
        <v>81</v>
      </c>
      <c r="D6" s="224" t="s">
        <v>102</v>
      </c>
      <c r="E6" s="225" t="s">
        <v>83</v>
      </c>
      <c r="F6" s="228" t="s">
        <v>84</v>
      </c>
      <c r="G6" s="225" t="s">
        <v>83</v>
      </c>
      <c r="H6" s="228" t="s">
        <v>85</v>
      </c>
      <c r="I6" s="225" t="s">
        <v>83</v>
      </c>
      <c r="J6" s="228" t="s">
        <v>85</v>
      </c>
      <c r="K6" s="224" t="s">
        <v>103</v>
      </c>
    </row>
    <row r="7" spans="1:11" ht="55" customHeight="1" x14ac:dyDescent="0.25">
      <c r="A7" s="223" t="s">
        <v>104</v>
      </c>
      <c r="B7" s="227" t="s">
        <v>105</v>
      </c>
      <c r="C7" s="225" t="s">
        <v>81</v>
      </c>
      <c r="D7" s="226" t="s">
        <v>106</v>
      </c>
      <c r="E7" s="225" t="s">
        <v>83</v>
      </c>
      <c r="F7" s="228" t="s">
        <v>84</v>
      </c>
      <c r="G7" s="225" t="s">
        <v>83</v>
      </c>
      <c r="H7" s="228" t="s">
        <v>85</v>
      </c>
      <c r="I7" s="225" t="s">
        <v>83</v>
      </c>
      <c r="J7" s="228" t="s">
        <v>85</v>
      </c>
      <c r="K7" s="224" t="s">
        <v>107</v>
      </c>
    </row>
    <row r="8" spans="1:11" ht="55" customHeight="1" x14ac:dyDescent="0.25">
      <c r="A8" s="223" t="s">
        <v>108</v>
      </c>
      <c r="B8" s="227" t="s">
        <v>109</v>
      </c>
      <c r="C8" s="225" t="s">
        <v>81</v>
      </c>
      <c r="D8" s="224" t="s">
        <v>110</v>
      </c>
      <c r="E8" s="225" t="s">
        <v>81</v>
      </c>
      <c r="F8" s="224" t="s">
        <v>111</v>
      </c>
      <c r="G8" s="225" t="s">
        <v>81</v>
      </c>
      <c r="H8" s="226" t="s">
        <v>112</v>
      </c>
      <c r="I8" s="225" t="s">
        <v>81</v>
      </c>
      <c r="J8" s="226" t="s">
        <v>113</v>
      </c>
      <c r="K8" s="224" t="s">
        <v>114</v>
      </c>
    </row>
    <row r="9" spans="1:11" ht="55" customHeight="1" x14ac:dyDescent="0.25">
      <c r="A9" s="223" t="s">
        <v>115</v>
      </c>
      <c r="B9" s="227" t="s">
        <v>116</v>
      </c>
      <c r="C9" s="225" t="s">
        <v>81</v>
      </c>
      <c r="D9" s="224" t="s">
        <v>117</v>
      </c>
      <c r="E9" s="225" t="s">
        <v>81</v>
      </c>
      <c r="F9" s="224" t="s">
        <v>118</v>
      </c>
      <c r="G9" s="225" t="s">
        <v>81</v>
      </c>
      <c r="H9" s="226" t="s">
        <v>119</v>
      </c>
      <c r="I9" s="225" t="s">
        <v>81</v>
      </c>
      <c r="J9" s="226" t="s">
        <v>113</v>
      </c>
      <c r="K9" s="224" t="s">
        <v>120</v>
      </c>
    </row>
    <row r="10" spans="1:11" ht="55" customHeight="1" x14ac:dyDescent="0.25">
      <c r="A10" s="223" t="s">
        <v>121</v>
      </c>
      <c r="B10" s="227" t="s">
        <v>122</v>
      </c>
      <c r="C10" s="225" t="s">
        <v>81</v>
      </c>
      <c r="D10" s="224" t="s">
        <v>123</v>
      </c>
      <c r="E10" s="225" t="s">
        <v>81</v>
      </c>
      <c r="F10" s="224" t="s">
        <v>124</v>
      </c>
      <c r="G10" s="225" t="s">
        <v>83</v>
      </c>
      <c r="H10" s="228" t="s">
        <v>85</v>
      </c>
      <c r="I10" s="225" t="s">
        <v>83</v>
      </c>
      <c r="J10" s="228" t="s">
        <v>85</v>
      </c>
      <c r="K10" s="224" t="s">
        <v>125</v>
      </c>
    </row>
    <row r="11" spans="1:11" ht="55" customHeight="1" x14ac:dyDescent="0.25">
      <c r="A11" s="223" t="s">
        <v>126</v>
      </c>
      <c r="B11" s="227" t="s">
        <v>127</v>
      </c>
      <c r="C11" s="225" t="s">
        <v>81</v>
      </c>
      <c r="D11" s="224" t="s">
        <v>123</v>
      </c>
      <c r="E11" s="225" t="s">
        <v>83</v>
      </c>
      <c r="F11" s="224" t="s">
        <v>128</v>
      </c>
      <c r="G11" s="225" t="s">
        <v>83</v>
      </c>
      <c r="H11" s="228" t="s">
        <v>85</v>
      </c>
      <c r="I11" s="225" t="s">
        <v>83</v>
      </c>
      <c r="J11" s="228" t="s">
        <v>85</v>
      </c>
      <c r="K11" s="224" t="s">
        <v>129</v>
      </c>
    </row>
    <row r="12" spans="1:11" ht="55" customHeight="1" x14ac:dyDescent="0.25">
      <c r="A12" s="223" t="s">
        <v>130</v>
      </c>
      <c r="B12" s="224" t="s">
        <v>131</v>
      </c>
      <c r="C12" s="225" t="s">
        <v>96</v>
      </c>
      <c r="D12" s="224" t="s">
        <v>132</v>
      </c>
      <c r="E12" s="225" t="s">
        <v>81</v>
      </c>
      <c r="F12" s="227" t="s">
        <v>133</v>
      </c>
      <c r="G12" s="225" t="s">
        <v>96</v>
      </c>
      <c r="H12" s="226" t="s">
        <v>134</v>
      </c>
      <c r="I12" s="225" t="s">
        <v>96</v>
      </c>
      <c r="J12" s="226" t="s">
        <v>135</v>
      </c>
      <c r="K12" s="224" t="s">
        <v>136</v>
      </c>
    </row>
    <row r="13" spans="1:11" ht="55" customHeight="1" x14ac:dyDescent="0.25">
      <c r="A13" s="223" t="s">
        <v>137</v>
      </c>
      <c r="B13" s="227" t="s">
        <v>138</v>
      </c>
      <c r="C13" s="225" t="s">
        <v>81</v>
      </c>
      <c r="D13" s="224" t="s">
        <v>139</v>
      </c>
      <c r="E13" s="225" t="s">
        <v>96</v>
      </c>
      <c r="F13" s="227" t="s">
        <v>140</v>
      </c>
      <c r="G13" s="225" t="s">
        <v>81</v>
      </c>
      <c r="H13" s="226" t="s">
        <v>119</v>
      </c>
      <c r="I13" s="225" t="s">
        <v>81</v>
      </c>
      <c r="J13" s="226" t="s">
        <v>113</v>
      </c>
      <c r="K13" s="229" t="s">
        <v>141</v>
      </c>
    </row>
    <row r="14" spans="1:11" ht="55" customHeight="1" x14ac:dyDescent="0.25">
      <c r="A14" s="223" t="s">
        <v>142</v>
      </c>
      <c r="B14" s="227" t="s">
        <v>143</v>
      </c>
      <c r="C14" s="225" t="s">
        <v>96</v>
      </c>
      <c r="D14" s="224" t="s">
        <v>132</v>
      </c>
      <c r="E14" s="225" t="s">
        <v>96</v>
      </c>
      <c r="F14" s="227" t="s">
        <v>140</v>
      </c>
      <c r="G14" s="225" t="s">
        <v>96</v>
      </c>
      <c r="H14" s="226" t="s">
        <v>134</v>
      </c>
      <c r="I14" s="225" t="s">
        <v>96</v>
      </c>
      <c r="J14" s="226" t="s">
        <v>135</v>
      </c>
      <c r="K14" s="224" t="s">
        <v>144</v>
      </c>
    </row>
    <row r="15" spans="1:11" ht="55" customHeight="1" x14ac:dyDescent="0.25">
      <c r="A15" s="223" t="s">
        <v>145</v>
      </c>
      <c r="B15" s="227" t="s">
        <v>146</v>
      </c>
      <c r="C15" s="225" t="s">
        <v>96</v>
      </c>
      <c r="D15" s="226" t="s">
        <v>147</v>
      </c>
      <c r="E15" s="225" t="s">
        <v>96</v>
      </c>
      <c r="F15" s="227" t="s">
        <v>140</v>
      </c>
      <c r="G15" s="225" t="s">
        <v>83</v>
      </c>
      <c r="H15" s="228" t="s">
        <v>85</v>
      </c>
      <c r="I15" s="225" t="s">
        <v>83</v>
      </c>
      <c r="J15" s="228" t="s">
        <v>85</v>
      </c>
      <c r="K15" s="224" t="s">
        <v>148</v>
      </c>
    </row>
    <row r="16" spans="1:11" ht="55" customHeight="1" x14ac:dyDescent="0.25">
      <c r="A16" s="223" t="s">
        <v>149</v>
      </c>
      <c r="B16" s="224" t="s">
        <v>150</v>
      </c>
      <c r="C16" s="225" t="s">
        <v>81</v>
      </c>
      <c r="D16" s="226" t="s">
        <v>151</v>
      </c>
      <c r="E16" s="225" t="s">
        <v>81</v>
      </c>
      <c r="F16" s="226" t="s">
        <v>152</v>
      </c>
      <c r="G16" s="225" t="s">
        <v>83</v>
      </c>
      <c r="H16" s="226" t="s">
        <v>153</v>
      </c>
      <c r="I16" s="225" t="s">
        <v>83</v>
      </c>
      <c r="J16" s="226" t="s">
        <v>92</v>
      </c>
      <c r="K16" s="224" t="s">
        <v>154</v>
      </c>
    </row>
    <row r="17" spans="1:11" ht="55" customHeight="1" x14ac:dyDescent="0.25">
      <c r="A17" s="223" t="s">
        <v>155</v>
      </c>
      <c r="B17" s="224" t="s">
        <v>156</v>
      </c>
      <c r="C17" s="225" t="s">
        <v>81</v>
      </c>
      <c r="D17" s="226" t="s">
        <v>157</v>
      </c>
      <c r="E17" s="225" t="s">
        <v>83</v>
      </c>
      <c r="F17" s="228" t="s">
        <v>84</v>
      </c>
      <c r="G17" s="225" t="s">
        <v>83</v>
      </c>
      <c r="H17" s="228" t="s">
        <v>85</v>
      </c>
      <c r="I17" s="225" t="s">
        <v>83</v>
      </c>
      <c r="J17" s="228" t="s">
        <v>85</v>
      </c>
      <c r="K17" s="224" t="s">
        <v>158</v>
      </c>
    </row>
    <row r="18" spans="1:11" ht="55" customHeight="1" x14ac:dyDescent="0.25">
      <c r="A18" s="223" t="s">
        <v>159</v>
      </c>
      <c r="B18" s="224" t="s">
        <v>160</v>
      </c>
      <c r="C18" s="225" t="s">
        <v>81</v>
      </c>
      <c r="D18" s="226" t="s">
        <v>161</v>
      </c>
      <c r="E18" s="225" t="s">
        <v>83</v>
      </c>
      <c r="F18" s="228" t="s">
        <v>84</v>
      </c>
      <c r="G18" s="225" t="s">
        <v>83</v>
      </c>
      <c r="H18" s="228" t="s">
        <v>85</v>
      </c>
      <c r="I18" s="225" t="s">
        <v>83</v>
      </c>
      <c r="J18" s="228" t="s">
        <v>85</v>
      </c>
      <c r="K18" s="224" t="s">
        <v>162</v>
      </c>
    </row>
    <row r="19" spans="1:11" ht="55" customHeight="1" x14ac:dyDescent="0.25">
      <c r="A19" s="230" t="s">
        <v>163</v>
      </c>
      <c r="B19" s="227" t="s">
        <v>164</v>
      </c>
      <c r="C19" s="225" t="s">
        <v>81</v>
      </c>
      <c r="D19" s="226" t="s">
        <v>165</v>
      </c>
      <c r="E19" s="225" t="s">
        <v>81</v>
      </c>
      <c r="F19" s="226" t="s">
        <v>166</v>
      </c>
      <c r="G19" s="225" t="s">
        <v>81</v>
      </c>
      <c r="H19" s="226" t="s">
        <v>167</v>
      </c>
      <c r="I19" s="225" t="s">
        <v>81</v>
      </c>
      <c r="J19" s="226" t="s">
        <v>113</v>
      </c>
      <c r="K19" s="224" t="s">
        <v>168</v>
      </c>
    </row>
    <row r="20" spans="1:11" ht="55" customHeight="1" x14ac:dyDescent="0.25">
      <c r="A20" s="230" t="s">
        <v>169</v>
      </c>
      <c r="B20" s="227" t="s">
        <v>170</v>
      </c>
      <c r="C20" s="225" t="s">
        <v>83</v>
      </c>
      <c r="D20" s="224" t="s">
        <v>244</v>
      </c>
      <c r="E20" s="225" t="s">
        <v>83</v>
      </c>
      <c r="F20" s="228" t="s">
        <v>84</v>
      </c>
      <c r="G20" s="225" t="s">
        <v>83</v>
      </c>
      <c r="H20" s="228" t="s">
        <v>85</v>
      </c>
      <c r="I20" s="225" t="s">
        <v>83</v>
      </c>
      <c r="J20" s="228" t="s">
        <v>85</v>
      </c>
      <c r="K20" s="224" t="s">
        <v>171</v>
      </c>
    </row>
  </sheetData>
  <sheetProtection algorithmName="SHA-512" hashValue="wEoJ1QBxVJHp4tYCo/2sP+6id6pcucl1AhBy65oBl63HOQX/C3YEBXZ5BuvKR0frVsI2p2CZqmhqCcgJ1gGkVQ==" saltValue="VTUv2hVMWji2jDWe7e9CeQ==" spinCount="100000" sheet="1" objects="1" scenarios="1"/>
  <mergeCells count="7">
    <mergeCell ref="K1:K2"/>
    <mergeCell ref="A1:B2"/>
    <mergeCell ref="C2:D2"/>
    <mergeCell ref="C1:J1"/>
    <mergeCell ref="E2:F2"/>
    <mergeCell ref="G2:H2"/>
    <mergeCell ref="I2:J2"/>
  </mergeCells>
  <conditionalFormatting sqref="C1:K1048576">
    <cfRule type="containsText" dxfId="2" priority="1" operator="containsText" text="▬">
      <formula>NOT(ISERROR(SEARCH("▬",C1)))</formula>
    </cfRule>
    <cfRule type="containsText" dxfId="1" priority="2" operator="containsText" text="▼">
      <formula>NOT(ISERROR(SEARCH("▼",C1)))</formula>
    </cfRule>
    <cfRule type="containsText" dxfId="0" priority="3" operator="containsText" text="▲">
      <formula>NOT(ISERROR(SEARCH("▲",C1)))</formula>
    </cfRule>
  </conditionalFormatting>
  <hyperlinks>
    <hyperlink ref="A4" location="'§ 5.4'!A1" display="§ 5.4" xr:uid="{37E0116E-E9E1-4136-8C18-56635FE88BC1}"/>
    <hyperlink ref="A5" location="'§ 5.5'!A1" display="§ 5.5" xr:uid="{C6B32B2C-15D6-476B-929D-AED61A667CEB}"/>
    <hyperlink ref="A3" location="'§ 5.1'!A1" display="§ 5.1" xr:uid="{A33E07A5-116C-4A73-A1A5-6546A0E134EC}"/>
    <hyperlink ref="A16" location="'§ 11.2a'!A1" display="§ 11.2a" xr:uid="{83954B09-EFFE-4AA1-8655-4EC34588A7A9}"/>
    <hyperlink ref="A17" location="'§ 11.2b'!A1" display="§ 11.2b" xr:uid="{41666324-CE4C-4B6B-9B7A-98C78A32FC93}"/>
    <hyperlink ref="A18" location="'§ 11.4'!A1" display="§ 11.4" xr:uid="{3BF77C1E-9DED-4635-B2BB-2DE6AE299186}"/>
    <hyperlink ref="A12" location="'H 10a'!A1" display="H 10a" xr:uid="{9DF3EC2F-B737-44ED-B0C7-70AF5861EA79}"/>
    <hyperlink ref="A13" location="'H 10b'!A1" display="H 10b" xr:uid="{ADB06163-F2F3-4E6D-9F3C-504D223A73BE}"/>
    <hyperlink ref="A14" location="'H 10c'!A1" display="H 10c" xr:uid="{1739CB2E-1953-4A95-994E-E0B1D6A74989}"/>
    <hyperlink ref="A15" location="'H 10d'!A1" display="H 10d" xr:uid="{6A26A0D5-32EA-4647-B3A9-5C4BA4DDE512}"/>
    <hyperlink ref="A6" location="'§ 5.9'!A1" display="§ 5.9" xr:uid="{A08B05FA-DAEA-46AB-8E5F-46742902CD3B}"/>
    <hyperlink ref="A7" location="'§ 6.4'!A1" display="§ 6.4" xr:uid="{A0851CDE-CFA0-4A15-97AE-A61D637FB9A0}"/>
    <hyperlink ref="A10" location="'§ 7.8a'!A1" display="§ 7.8a" xr:uid="{99D18543-67B4-4D34-A7D7-C3545339BA99}"/>
    <hyperlink ref="A11" location="'§ 7.8b'!A1" display="§ 7.8b" xr:uid="{9155DA1C-0FAA-4A4E-B675-AF514EED99D6}"/>
    <hyperlink ref="A19" location="'§ 7.8c'!Datum_Aanvang_IKV" display="§ 7.8c" xr:uid="{05F5EF62-299B-4560-8035-A1B0E0B2FACD}"/>
    <hyperlink ref="A20" location="'§ 6.1'!A1" display="§ 6.1" xr:uid="{E7989ED9-CD60-4B50-A40A-CB765FB3A91E}"/>
  </hyperlinks>
  <pageMargins left="0.31496062992125984" right="0.31496062992125984" top="0.74803149606299213" bottom="0.74803149606299213" header="0.31496062992125984" footer="0.31496062992125984"/>
  <pageSetup paperSize="9" scale="57"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851A3D-80C0-4E2B-B33D-1ED72B20C9E0}">
          <x14:formula1>
            <xm:f>rekenwaarden!$R$2:$R$4</xm:f>
          </x14:formula1>
          <xm:sqref>I3:I20 C3:C20 G3:G20 E3:E20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81D0A-F0D1-41B1-AAB4-765B78BB306D}">
  <sheetPr>
    <tabColor theme="4" tint="-0.249977111117893"/>
  </sheetPr>
  <dimension ref="A1:AL30"/>
  <sheetViews>
    <sheetView showGridLines="0" zoomScale="90" zoomScaleNormal="90" workbookViewId="0">
      <pane xSplit="2" ySplit="30" topLeftCell="C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179687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8.1796875" customWidth="1"/>
    <col min="22" max="33" width="15.81640625" customWidth="1"/>
    <col min="34" max="34" width="19.453125" bestFit="1" customWidth="1"/>
    <col min="35" max="35" width="20.453125" customWidth="1"/>
    <col min="36" max="36" width="12.81640625" bestFit="1"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210" t="s">
        <v>18</v>
      </c>
      <c r="W1" s="211" t="s">
        <v>71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IF(OR(Datum_Einde_IKV="",Tabel13536789[[#This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IF(Tabel13536789[[#This Row],[Inkomsten-periode]]="","",DATEDIF(Geboortedatum,Tabel13536789[[#This Row],[DatEindTv]],"Y"))</f>
        <v>27</v>
      </c>
      <c r="I2" s="146">
        <f>IF(Tabel13536789[[#This Row],[Inkomsten-periode]]="","",IF(Datum_Aanvang_IKV="","",Datum_Aanvang_IKV))</f>
        <v>45658</v>
      </c>
      <c r="J2" s="146" t="str">
        <f>IF(Tabel13536789[[#This Row],[Inkomsten-periode]]="","",IF(Datum_Einde_IKV="","",IF(Datum_Einde_IKV&lt;=Tabel13536789[[#This Row],[DatEindTv]],Datum_Einde_IKV,"")))</f>
        <v/>
      </c>
      <c r="K2" s="138"/>
      <c r="L2" s="138">
        <v>15</v>
      </c>
      <c r="M2" s="138">
        <v>1</v>
      </c>
      <c r="N2" s="139">
        <v>173</v>
      </c>
      <c r="O2" s="140">
        <v>2650</v>
      </c>
      <c r="P2" s="140">
        <v>0</v>
      </c>
      <c r="Q2" s="140">
        <v>212</v>
      </c>
      <c r="R2" s="140">
        <v>0</v>
      </c>
      <c r="S2" s="140">
        <v>0</v>
      </c>
      <c r="T2" s="140">
        <v>2650</v>
      </c>
      <c r="U2" s="140"/>
      <c r="V2" s="184">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Row],[OpnAvwb]],0))))</f>
        <v>2862</v>
      </c>
      <c r="W2" s="185">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Row],[AantVerlU]],0))))</f>
        <v>173</v>
      </c>
      <c r="X2" s="184"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f>
        <v/>
      </c>
      <c r="Y2" s="185"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Row],[AantVerlU]],"")),"")</f>
        <v/>
      </c>
    </row>
    <row r="3" spans="1:38" s="113" customFormat="1" ht="16.399999999999999" customHeight="1" x14ac:dyDescent="0.25">
      <c r="A3" s="122" t="s">
        <v>21</v>
      </c>
      <c r="B3" s="133">
        <v>36223</v>
      </c>
      <c r="C3" s="202"/>
      <c r="D3" s="145">
        <f>IF(OR(Datum_Einde_IKV&gt;G2,Datum_Einde_IKV=""),IF(AND($B$2="Maandelijks", COUNTIF($D$1:D2, 12)=1), "",IF(OR(AND($B$2="Maandelijks", D2=12),AND($B$2="Vierwekelijks", D2=13), D2 = "Periode"), 1, D2+1)),"")</f>
        <v>2</v>
      </c>
      <c r="E3" s="145" t="str">
        <f>IF(OR(Datum_Einde_IKV="",Tabel13536789[[#This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IF(Tabel13536789[[#This Row],[Inkomsten-periode]]="","",DATEDIF(Geboortedatum,Tabel13536789[[#This Row],[DatEindTv]],"Y"))</f>
        <v>27</v>
      </c>
      <c r="I3" s="146">
        <f>IF(Tabel13536789[[#This Row],[Inkomsten-periode]]="","",IF(Datum_Aanvang_IKV="","",Datum_Aanvang_IKV))</f>
        <v>45658</v>
      </c>
      <c r="J3" s="146" t="str">
        <f>IF(Tabel13536789[[#This Row],[Inkomsten-periode]]="","",IF(Datum_Einde_IKV="","",IF(Datum_Einde_IKV&lt;=Tabel13536789[[#This Row],[DatEindTv]],Datum_Einde_IKV,"")))</f>
        <v/>
      </c>
      <c r="K3" s="141"/>
      <c r="L3" s="141">
        <v>15</v>
      </c>
      <c r="M3" s="141">
        <v>1</v>
      </c>
      <c r="N3" s="142">
        <v>173</v>
      </c>
      <c r="O3" s="143">
        <v>2650</v>
      </c>
      <c r="P3" s="143">
        <v>0</v>
      </c>
      <c r="Q3" s="143">
        <v>212</v>
      </c>
      <c r="R3" s="143">
        <v>0</v>
      </c>
      <c r="S3" s="143">
        <v>0</v>
      </c>
      <c r="T3" s="143">
        <v>2650</v>
      </c>
      <c r="U3" s="143"/>
      <c r="V3" s="184">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Row],[OpnAvwb]],0))))</f>
        <v>2862</v>
      </c>
      <c r="W3" s="186">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Row],[AantVerlU]],0))))</f>
        <v>173</v>
      </c>
      <c r="X3" s="184"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f>
        <v/>
      </c>
      <c r="Y3" s="186"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Row],[AantVerlU]],"")),"")</f>
        <v/>
      </c>
    </row>
    <row r="4" spans="1:38" s="113" customFormat="1" ht="16.399999999999999" customHeight="1" x14ac:dyDescent="0.25">
      <c r="A4" s="122" t="s">
        <v>22</v>
      </c>
      <c r="B4" s="134">
        <v>45658</v>
      </c>
      <c r="C4" s="202"/>
      <c r="D4" s="144">
        <f>IF(OR(Datum_Einde_IKV&gt;G3,Datum_Einde_IKV=""),IF(AND($B$2="Maandelijks", COUNTIF($D$1:D3, 12)=1), "",IF(OR(AND($B$2="Maandelijks", D3=12),AND($B$2="Vierwekelijks", D3=13), D3 = "Periode"), 1, D3+1)),"")</f>
        <v>3</v>
      </c>
      <c r="E4" s="145" t="str">
        <f>IF(OR(Datum_Einde_IKV="",Tabel13536789[[#This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IF(Tabel13536789[[#This Row],[Inkomsten-periode]]="","",DATEDIF(Geboortedatum,Tabel13536789[[#This Row],[DatEindTv]],"Y"))</f>
        <v>28</v>
      </c>
      <c r="I4" s="146">
        <f>IF(Tabel13536789[[#This Row],[Inkomsten-periode]]="","",IF(Datum_Aanvang_IKV="","",Datum_Aanvang_IKV))</f>
        <v>45658</v>
      </c>
      <c r="J4" s="146" t="str">
        <f>IF(Tabel13536789[[#This Row],[Inkomsten-periode]]="","",IF(Datum_Einde_IKV="","",IF(Datum_Einde_IKV&lt;=Tabel13536789[[#This Row],[DatEindTv]],Datum_Einde_IKV,"")))</f>
        <v/>
      </c>
      <c r="K4" s="138"/>
      <c r="L4" s="138">
        <v>15</v>
      </c>
      <c r="M4" s="138">
        <v>1</v>
      </c>
      <c r="N4" s="139">
        <v>173</v>
      </c>
      <c r="O4" s="140">
        <v>2650</v>
      </c>
      <c r="P4" s="140">
        <v>0</v>
      </c>
      <c r="Q4" s="140">
        <v>212</v>
      </c>
      <c r="R4" s="140">
        <v>0</v>
      </c>
      <c r="S4" s="140">
        <v>0</v>
      </c>
      <c r="T4" s="140">
        <v>2650</v>
      </c>
      <c r="U4" s="140"/>
      <c r="V4" s="184">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Row],[OpnAvwb]],0))))</f>
        <v>2862</v>
      </c>
      <c r="W4" s="186">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Row],[AantVerlU]],0))))</f>
        <v>173</v>
      </c>
      <c r="X4" s="184"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f>
        <v/>
      </c>
      <c r="Y4" s="186"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Row],[AantVerlU]],"")),"")</f>
        <v/>
      </c>
    </row>
    <row r="5" spans="1:38" s="113" customFormat="1" ht="16.399999999999999" customHeight="1" x14ac:dyDescent="0.25">
      <c r="A5" s="122" t="s">
        <v>23</v>
      </c>
      <c r="B5" s="133">
        <v>46507</v>
      </c>
      <c r="C5" s="202"/>
      <c r="D5" s="145">
        <f>IF(OR(Datum_Einde_IKV&gt;G4,Datum_Einde_IKV=""),IF(AND($B$2="Maandelijks", COUNTIF($D$1:D4, 12)=1), "",IF(OR(AND($B$2="Maandelijks", D4=12),AND($B$2="Vierwekelijks", D4=13), D4 = "Periode"), 1, D4+1)),"")</f>
        <v>4</v>
      </c>
      <c r="E5" s="145" t="str">
        <f>IF(OR(Datum_Einde_IKV="",Tabel13536789[[#This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IF(Tabel13536789[[#This Row],[Inkomsten-periode]]="","",DATEDIF(Geboortedatum,Tabel13536789[[#This Row],[DatEindTv]],"Y"))</f>
        <v>28</v>
      </c>
      <c r="I5" s="146">
        <f>IF(Tabel13536789[[#This Row],[Inkomsten-periode]]="","",IF(Datum_Aanvang_IKV="","",Datum_Aanvang_IKV))</f>
        <v>45658</v>
      </c>
      <c r="J5" s="146">
        <f>IF(Tabel13536789[[#This Row],[Inkomsten-periode]]="","",IF(Datum_Einde_IKV="","",IF(Datum_Einde_IKV&lt;=Tabel13536789[[#This Row],[DatEindTv]],Datum_Einde_IKV,"")))</f>
        <v>46507</v>
      </c>
      <c r="K5" s="141">
        <v>20</v>
      </c>
      <c r="L5" s="141">
        <v>15</v>
      </c>
      <c r="M5" s="141">
        <v>1</v>
      </c>
      <c r="N5" s="142">
        <v>173</v>
      </c>
      <c r="O5" s="143">
        <v>2650</v>
      </c>
      <c r="P5" s="143">
        <v>0</v>
      </c>
      <c r="Q5" s="143">
        <v>212</v>
      </c>
      <c r="R5" s="143">
        <v>0</v>
      </c>
      <c r="S5" s="143">
        <v>0</v>
      </c>
      <c r="T5" s="143">
        <v>2650</v>
      </c>
      <c r="U5" s="143"/>
      <c r="V5" s="184">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Row],[OpnAvwb]],0))))</f>
        <v>2862</v>
      </c>
      <c r="W5" s="186">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Row],[AantVerlU]],0))))</f>
        <v>173</v>
      </c>
      <c r="X5" s="184"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f>
        <v/>
      </c>
      <c r="Y5" s="186"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Row],[AantVerlU]],"")),"")</f>
        <v/>
      </c>
    </row>
    <row r="6" spans="1:38" s="113" customFormat="1" ht="16.399999999999999" customHeight="1" x14ac:dyDescent="0.25">
      <c r="A6" s="122" t="s">
        <v>24</v>
      </c>
      <c r="B6" s="135" t="s">
        <v>180</v>
      </c>
      <c r="C6" s="203"/>
      <c r="D6" s="144" t="str">
        <f>IF(OR(Datum_Einde_IKV&gt;G5,Datum_Einde_IKV=""),IF(AND($B$2="Maandelijks", COUNTIF($D$1:D5, 12)=1), "",IF(OR(AND($B$2="Maandelijks", D5=12),AND($B$2="Vierwekelijks", D5=13), D5 = "Periode"), 1, D5+1)),"")</f>
        <v/>
      </c>
      <c r="E6" s="145" t="str">
        <f>IF(OR(Datum_Einde_IKV="",Tabel13536789[[#This Row],[DatAanvTv]]&lt;Datum_Einde_IKV),IF(E5="december","",IF(Verloningsperiodiciteit="maandelijks",rekenwaarden!F7,_xlfn.CONCAT("Periode ",rekenwaarden!E7))),"")</f>
        <v/>
      </c>
      <c r="F6" s="146" t="str">
        <f t="shared" si="0"/>
        <v/>
      </c>
      <c r="G6" s="146" t="str">
        <f>IF(F6="", "", IF(Verloningsperiodiciteit="Vierwekelijks", _xlfn.XLOOKUP(F6,rekenwaarden!$C$3:$C$54,rekenwaarden!$D$3:$D$54,"niet gevonden",-1), _xlfn.XLOOKUP(F6,rekenwaarden!$I$3:$I$54,rekenwaarden!$J$3:$J$54,"niet gevonden",-1)))</f>
        <v/>
      </c>
      <c r="H6" s="147" t="str">
        <f>IF(Tabel13536789[[#This Row],[Inkomsten-periode]]="","",DATEDIF(Geboortedatum,Tabel13536789[[#This Row],[DatEindTv]],"Y"))</f>
        <v/>
      </c>
      <c r="I6" s="146" t="str">
        <f>IF(Tabel13536789[[#This Row],[Inkomsten-periode]]="","",IF(Datum_Aanvang_IKV="","",Datum_Aanvang_IKV))</f>
        <v/>
      </c>
      <c r="J6" s="146" t="str">
        <f>IF(Tabel13536789[[#This Row],[Inkomsten-periode]]="","",IF(Datum_Einde_IKV="","",IF(Datum_Einde_IKV&lt;=Tabel13536789[[#This Row],[DatEindTv]],Datum_Einde_IKV,"")))</f>
        <v/>
      </c>
      <c r="K6" s="138"/>
      <c r="L6" s="138"/>
      <c r="M6" s="138"/>
      <c r="N6" s="139">
        <v>0</v>
      </c>
      <c r="O6" s="140">
        <v>2832</v>
      </c>
      <c r="P6" s="140">
        <v>2332</v>
      </c>
      <c r="Q6" s="140">
        <v>0</v>
      </c>
      <c r="R6" s="140">
        <v>0</v>
      </c>
      <c r="S6" s="140">
        <v>0</v>
      </c>
      <c r="T6" s="140">
        <v>2832</v>
      </c>
      <c r="U6" s="140"/>
      <c r="V6" s="184"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Row],[OpnAvwb]],0))))</f>
        <v/>
      </c>
      <c r="W6" s="186"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Row],[AantVerlU]],0))))</f>
        <v/>
      </c>
      <c r="X6" s="184">
        <v>2832</v>
      </c>
      <c r="Y6" s="186">
        <v>0</v>
      </c>
    </row>
    <row r="7" spans="1:38" s="113" customFormat="1" ht="16.399999999999999" customHeight="1" x14ac:dyDescent="0.25">
      <c r="A7" s="122" t="s">
        <v>26</v>
      </c>
      <c r="B7" s="136">
        <f>VLOOKUP(B6,rekenwaarden!M8:T12,8)</f>
        <v>40</v>
      </c>
      <c r="C7" s="204"/>
      <c r="D7" s="145" t="str">
        <f>IF(OR(Datum_Einde_IKV&gt;G6,Datum_Einde_IKV=""),IF(AND($B$2="Maandelijks", COUNTIF($D$1:D6, 12)=1), "",IF(OR(AND($B$2="Maandelijks", D6=12),AND($B$2="Vierwekelijks", D6=13), D6 = "Periode"), 1, D6+1)),"")</f>
        <v/>
      </c>
      <c r="E7" s="145" t="str">
        <f>IF(OR(Datum_Einde_IKV="",Tabel13536789[[#This Row],[DatAanvTv]]&lt;Datum_Einde_IKV),IF(E6="december","",IF(Verloningsperiodiciteit="maandelijks",rekenwaarden!F8,_xlfn.CONCAT("Periode ",rekenwaarden!E8))),"")</f>
        <v/>
      </c>
      <c r="F7" s="146" t="str">
        <f t="shared" si="0"/>
        <v/>
      </c>
      <c r="G7" s="146" t="str">
        <f>IF(F7="", "", IF(Verloningsperiodiciteit="Vierwekelijks", _xlfn.XLOOKUP(F7,rekenwaarden!$C$3:$C$54,rekenwaarden!$D$3:$D$54,"niet gevonden",-1), _xlfn.XLOOKUP(F7,rekenwaarden!$I$3:$I$54,rekenwaarden!$J$3:$J$54,"niet gevonden",-1)))</f>
        <v/>
      </c>
      <c r="H7" s="147" t="str">
        <f>IF(Tabel13536789[[#This Row],[Inkomsten-periode]]="","",DATEDIF(Geboortedatum,Tabel13536789[[#This Row],[DatEindTv]],"Y"))</f>
        <v/>
      </c>
      <c r="I7" s="146" t="str">
        <f>IF(Tabel13536789[[#This Row],[Inkomsten-periode]]="","",IF(Datum_Aanvang_IKV="","",Datum_Aanvang_IKV))</f>
        <v/>
      </c>
      <c r="J7" s="146" t="str">
        <f>IF(Tabel13536789[[#This Row],[Inkomsten-periode]]="","",IF(Datum_Einde_IKV="","",IF(Datum_Einde_IKV&lt;=Tabel13536789[[#This Row],[DatEindTv]],Datum_Einde_IKV,"")))</f>
        <v/>
      </c>
      <c r="K7" s="141"/>
      <c r="L7" s="141"/>
      <c r="M7" s="141"/>
      <c r="N7" s="142"/>
      <c r="O7" s="143"/>
      <c r="P7" s="143"/>
      <c r="Q7" s="143"/>
      <c r="R7" s="143"/>
      <c r="S7" s="143"/>
      <c r="T7" s="143"/>
      <c r="U7" s="143"/>
      <c r="V7" s="184"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Row],[OpnAvwb]],0))))</f>
        <v/>
      </c>
      <c r="W7" s="186"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Row],[AantVerlU]],0))))</f>
        <v/>
      </c>
      <c r="X7" s="184"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f>
        <v/>
      </c>
      <c r="Y7" s="186"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Row],[AantVerlU]],"")),"")</f>
        <v/>
      </c>
    </row>
    <row r="8" spans="1:38" s="113" customFormat="1" ht="16.399999999999999" customHeight="1" x14ac:dyDescent="0.25">
      <c r="A8" s="122" t="s">
        <v>27</v>
      </c>
      <c r="B8" s="137" t="s">
        <v>200</v>
      </c>
      <c r="C8" s="202"/>
      <c r="D8" s="144" t="str">
        <f>IF(OR(Datum_Einde_IKV&gt;G7,Datum_Einde_IKV=""),IF(AND($B$2="Maandelijks", COUNTIF($D$1:D7, 12)=1), "",IF(OR(AND($B$2="Maandelijks", D7=12),AND($B$2="Vierwekelijks", D7=13), D7 = "Periode"), 1, D7+1)),"")</f>
        <v/>
      </c>
      <c r="E8" s="145" t="str">
        <f>IF(OR(Datum_Einde_IKV="",Tabel13536789[[#This Row],[DatAanvTv]]&lt;Datum_Einde_IKV),IF(E7="december","",IF(Verloningsperiodiciteit="maandelijks",rekenwaarden!F9,_xlfn.CONCAT("Periode ",rekenwaarden!E9))),"")</f>
        <v/>
      </c>
      <c r="F8" s="146" t="str">
        <f t="shared" si="0"/>
        <v/>
      </c>
      <c r="G8" s="146" t="str">
        <f>IF(F8="", "", IF(Verloningsperiodiciteit="Vierwekelijks", _xlfn.XLOOKUP(F8,rekenwaarden!$C$3:$C$54,rekenwaarden!$D$3:$D$54,"niet gevonden",-1), _xlfn.XLOOKUP(F8,rekenwaarden!$I$3:$I$54,rekenwaarden!$J$3:$J$54,"niet gevonden",-1)))</f>
        <v/>
      </c>
      <c r="H8" s="147" t="str">
        <f>IF(Tabel13536789[[#This Row],[Inkomsten-periode]]="","",DATEDIF(Geboortedatum,Tabel13536789[[#This Row],[DatEindTv]],"Y"))</f>
        <v/>
      </c>
      <c r="I8" s="146" t="str">
        <f>IF(Tabel13536789[[#This Row],[Inkomsten-periode]]="","",IF(Datum_Aanvang_IKV="","",Datum_Aanvang_IKV))</f>
        <v/>
      </c>
      <c r="J8" s="146" t="str">
        <f>IF(Tabel13536789[[#This Row],[Inkomsten-periode]]="","",IF(Datum_Einde_IKV="","",IF(Datum_Einde_IKV&lt;=Tabel13536789[[#This Row],[DatEindTv]],Datum_Einde_IKV,"")))</f>
        <v/>
      </c>
      <c r="K8" s="138"/>
      <c r="L8" s="138"/>
      <c r="M8" s="138"/>
      <c r="N8" s="139"/>
      <c r="O8" s="140"/>
      <c r="P8" s="140"/>
      <c r="Q8" s="140"/>
      <c r="R8" s="140"/>
      <c r="S8" s="140"/>
      <c r="T8" s="140"/>
      <c r="U8" s="140"/>
      <c r="V8" s="184"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Row],[OpnAvwb]],0))))</f>
        <v/>
      </c>
      <c r="W8" s="186"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Row],[AantVerlU]],0))))</f>
        <v/>
      </c>
      <c r="X8" s="184"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f>
        <v/>
      </c>
      <c r="Y8" s="186"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Row],[AantVerlU]],"")),"")</f>
        <v/>
      </c>
    </row>
    <row r="9" spans="1:38" s="113" customFormat="1" ht="16.399999999999999" customHeight="1" x14ac:dyDescent="0.25">
      <c r="A9" s="122"/>
      <c r="B9" s="131"/>
      <c r="C9" s="200"/>
      <c r="D9" s="145" t="str">
        <f>IF(OR(Datum_Einde_IKV&gt;G8,Datum_Einde_IKV=""),IF(AND($B$2="Maandelijks", COUNTIF($D$1:D8, 12)=1), "",IF(OR(AND($B$2="Maandelijks", D8=12),AND($B$2="Vierwekelijks", D8=13), D8 = "Periode"), 1, D8+1)),"")</f>
        <v/>
      </c>
      <c r="E9" s="145" t="str">
        <f>IF(OR(Datum_Einde_IKV="",Tabel13536789[[#This Row],[DatAanvTv]]&lt;Datum_Einde_IKV),IF(E8="december","",IF(Verloningsperiodiciteit="maandelijks",rekenwaarden!F10,_xlfn.CONCAT("Periode ",rekenwaarden!E10))),"")</f>
        <v/>
      </c>
      <c r="F9" s="146" t="str">
        <f t="shared" si="0"/>
        <v/>
      </c>
      <c r="G9" s="146" t="str">
        <f>IF(F9="", "", IF(Verloningsperiodiciteit="Vierwekelijks", _xlfn.XLOOKUP(F9,rekenwaarden!$C$3:$C$54,rekenwaarden!$D$3:$D$54,"niet gevonden",-1), _xlfn.XLOOKUP(F9,rekenwaarden!$I$3:$I$54,rekenwaarden!$J$3:$J$54,"niet gevonden",-1)))</f>
        <v/>
      </c>
      <c r="H9" s="147" t="str">
        <f>IF(Tabel13536789[[#This Row],[Inkomsten-periode]]="","",DATEDIF(Geboortedatum,Tabel13536789[[#This Row],[DatEindTv]],"Y"))</f>
        <v/>
      </c>
      <c r="I9" s="146" t="str">
        <f>IF(Tabel13536789[[#This Row],[Inkomsten-periode]]="","",IF(Datum_Aanvang_IKV="","",Datum_Aanvang_IKV))</f>
        <v/>
      </c>
      <c r="J9" s="146" t="str">
        <f>IF(Tabel13536789[[#This Row],[Inkomsten-periode]]="","",IF(Datum_Einde_IKV="","",IF(Datum_Einde_IKV&lt;=Tabel13536789[[#This Row],[DatEindTv]],Datum_Einde_IKV,"")))</f>
        <v/>
      </c>
      <c r="K9" s="141"/>
      <c r="L9" s="141"/>
      <c r="M9" s="141"/>
      <c r="N9" s="142"/>
      <c r="O9" s="143"/>
      <c r="P9" s="143"/>
      <c r="Q9" s="143"/>
      <c r="R9" s="143"/>
      <c r="S9" s="143"/>
      <c r="T9" s="143"/>
      <c r="U9" s="143"/>
      <c r="V9" s="184"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Row],[OpnAvwb]],0))))</f>
        <v/>
      </c>
      <c r="W9" s="186"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Row],[AantVerlU]],0))))</f>
        <v/>
      </c>
      <c r="X9" s="184"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f>
        <v/>
      </c>
      <c r="Y9" s="186"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Row],[AantVerlU]],"")),"")</f>
        <v/>
      </c>
    </row>
    <row r="10" spans="1:38" s="113" customFormat="1" ht="16.399999999999999" customHeight="1" thickBot="1" x14ac:dyDescent="0.3">
      <c r="A10" s="200"/>
      <c r="B10" s="200"/>
      <c r="C10" s="200"/>
      <c r="D10" s="144" t="str">
        <f>IF(OR(Datum_Einde_IKV&gt;G9,Datum_Einde_IKV=""),IF(AND($B$2="Maandelijks", COUNTIF($D$1:D9, 12)=1), "",IF(OR(AND($B$2="Maandelijks", D9=12),AND($B$2="Vierwekelijks", D9=13), D9 = "Periode"), 1, D9+1)),"")</f>
        <v/>
      </c>
      <c r="E10" s="145" t="str">
        <f>IF(OR(Datum_Einde_IKV="",Tabel13536789[[#This Row],[DatAanvTv]]&lt;Datum_Einde_IKV),IF(E9="december","",IF(Verloningsperiodiciteit="maandelijks",rekenwaarden!F11,_xlfn.CONCAT("Periode ",rekenwaarden!E11))),"")</f>
        <v/>
      </c>
      <c r="F10" s="146" t="str">
        <f t="shared" si="0"/>
        <v/>
      </c>
      <c r="G10" s="146" t="str">
        <f>IF(F10="", "", IF(Verloningsperiodiciteit="Vierwekelijks", _xlfn.XLOOKUP(F10,rekenwaarden!$C$3:$C$54,rekenwaarden!$D$3:$D$54,"niet gevonden",-1), _xlfn.XLOOKUP(F10,rekenwaarden!$I$3:$I$54,rekenwaarden!$J$3:$J$54,"niet gevonden",-1)))</f>
        <v/>
      </c>
      <c r="H10" s="147" t="str">
        <f>IF(Tabel13536789[[#This Row],[Inkomsten-periode]]="","",DATEDIF(Geboortedatum,Tabel13536789[[#This Row],[DatEindTv]],"Y"))</f>
        <v/>
      </c>
      <c r="I10" s="146" t="str">
        <f>IF(Tabel13536789[[#This Row],[Inkomsten-periode]]="","",IF(Datum_Aanvang_IKV="","",Datum_Aanvang_IKV))</f>
        <v/>
      </c>
      <c r="J10" s="146" t="str">
        <f>IF(Tabel13536789[[#This Row],[Inkomsten-periode]]="","",IF(Datum_Einde_IKV="","",IF(Datum_Einde_IKV&lt;=Tabel13536789[[#This Row],[DatEindTv]],Datum_Einde_IKV,"")))</f>
        <v/>
      </c>
      <c r="K10" s="138"/>
      <c r="L10" s="138"/>
      <c r="M10" s="138"/>
      <c r="N10" s="139"/>
      <c r="O10" s="140"/>
      <c r="P10" s="140"/>
      <c r="Q10" s="140"/>
      <c r="R10" s="140"/>
      <c r="S10" s="140"/>
      <c r="T10" s="140"/>
      <c r="U10" s="140"/>
      <c r="V10" s="184"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Row],[OpnAvwb]],0))))</f>
        <v/>
      </c>
      <c r="W10" s="186"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Row],[AantVerlU]],0))))</f>
        <v/>
      </c>
      <c r="X10" s="184"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f>
        <v/>
      </c>
      <c r="Y10" s="186"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Row],[AantVerlU]],"")),"")</f>
        <v/>
      </c>
    </row>
    <row r="11" spans="1:38" s="113" customFormat="1" ht="16.399999999999999" customHeight="1" x14ac:dyDescent="0.25">
      <c r="A11" s="245" t="s">
        <v>65</v>
      </c>
      <c r="B11" s="246"/>
      <c r="C11" s="200"/>
      <c r="D11" s="145" t="str">
        <f>IF(OR(Datum_Einde_IKV&gt;G10,Datum_Einde_IKV=""),IF(AND($B$2="Maandelijks", COUNTIF($D$1:D10, 12)=1), "",IF(OR(AND($B$2="Maandelijks", D10=12),AND($B$2="Vierwekelijks", D10=13), D10 = "Periode"), 1, D10+1)),"")</f>
        <v/>
      </c>
      <c r="E11" s="145" t="str">
        <f>IF(OR(Datum_Einde_IKV="",Tabel13536789[[#This Row],[DatAanvTv]]&lt;Datum_Einde_IKV),IF(E10="december","",IF(Verloningsperiodiciteit="maandelijks",rekenwaarden!F12,_xlfn.CONCAT("Periode ",rekenwaarden!E12))),"")</f>
        <v/>
      </c>
      <c r="F11" s="146" t="str">
        <f t="shared" si="0"/>
        <v/>
      </c>
      <c r="G11" s="146" t="str">
        <f>IF(F11="", "", IF(Verloningsperiodiciteit="Vierwekelijks", _xlfn.XLOOKUP(F11,rekenwaarden!$C$3:$C$54,rekenwaarden!$D$3:$D$54,"niet gevonden",-1), _xlfn.XLOOKUP(F11,rekenwaarden!$I$3:$I$54,rekenwaarden!$J$3:$J$54,"niet gevonden",-1)))</f>
        <v/>
      </c>
      <c r="H11" s="147" t="str">
        <f>IF(Tabel13536789[[#This Row],[Inkomsten-periode]]="","",DATEDIF(Geboortedatum,Tabel13536789[[#This Row],[DatEindTv]],"Y"))</f>
        <v/>
      </c>
      <c r="I11" s="146" t="str">
        <f>IF(Tabel13536789[[#This Row],[Inkomsten-periode]]="","",IF(Datum_Aanvang_IKV="","",Datum_Aanvang_IKV))</f>
        <v/>
      </c>
      <c r="J11" s="146" t="str">
        <f>IF(Tabel13536789[[#This Row],[Inkomsten-periode]]="","",IF(Datum_Einde_IKV="","",IF(Datum_Einde_IKV&lt;=Tabel13536789[[#This Row],[DatEindTv]],Datum_Einde_IKV,"")))</f>
        <v/>
      </c>
      <c r="K11" s="141"/>
      <c r="L11" s="141"/>
      <c r="M11" s="141"/>
      <c r="N11" s="142"/>
      <c r="O11" s="143"/>
      <c r="P11" s="143"/>
      <c r="Q11" s="143"/>
      <c r="R11" s="143"/>
      <c r="S11" s="143"/>
      <c r="T11" s="143"/>
      <c r="U11" s="143"/>
      <c r="V11" s="184"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Row],[OpnAvwb]],0))))</f>
        <v/>
      </c>
      <c r="W11" s="186"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Row],[AantVerlU]],0))))</f>
        <v/>
      </c>
      <c r="X11" s="184"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f>
        <v/>
      </c>
      <c r="Y11" s="186"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Row],[AantVerlU]],"")),"")</f>
        <v/>
      </c>
    </row>
    <row r="12" spans="1:38" s="113" customFormat="1" ht="16.399999999999999" customHeight="1" x14ac:dyDescent="0.25">
      <c r="A12" s="249" t="s">
        <v>202</v>
      </c>
      <c r="B12" s="250"/>
      <c r="C12" s="200"/>
      <c r="D12" s="144" t="str">
        <f>IF(OR(Datum_Einde_IKV&gt;G11,Datum_Einde_IKV=""),IF(AND($B$2="Maandelijks", COUNTIF($D$1:D11, 12)=1), "",IF(OR(AND($B$2="Maandelijks", D11=12),AND($B$2="Vierwekelijks", D11=13), D11 = "Periode"), 1, D11+1)),"")</f>
        <v/>
      </c>
      <c r="E12" s="145" t="str">
        <f>IF(OR(Datum_Einde_IKV="",Tabel13536789[[#This Row],[DatAanvTv]]&lt;Datum_Einde_IKV),IF(E11="december","",IF(Verloningsperiodiciteit="maandelijks",rekenwaarden!F13,_xlfn.CONCAT("Periode ",rekenwaarden!E13))),"")</f>
        <v/>
      </c>
      <c r="F12" s="146" t="str">
        <f t="shared" si="0"/>
        <v/>
      </c>
      <c r="G12" s="146" t="str">
        <f>IF(F12="", "", IF(Verloningsperiodiciteit="Vierwekelijks", _xlfn.XLOOKUP(F12,rekenwaarden!$C$3:$C$54,rekenwaarden!$D$3:$D$54,"niet gevonden",-1), _xlfn.XLOOKUP(F12,rekenwaarden!$I$3:$I$54,rekenwaarden!$J$3:$J$54,"niet gevonden",-1)))</f>
        <v/>
      </c>
      <c r="H12" s="147" t="str">
        <f>IF(Tabel13536789[[#This Row],[Inkomsten-periode]]="","",DATEDIF(Geboortedatum,Tabel13536789[[#This Row],[DatEindTv]],"Y"))</f>
        <v/>
      </c>
      <c r="I12" s="146" t="str">
        <f>IF(Tabel13536789[[#This Row],[Inkomsten-periode]]="","",IF(Datum_Aanvang_IKV="","",Datum_Aanvang_IKV))</f>
        <v/>
      </c>
      <c r="J12" s="146" t="str">
        <f>IF(Tabel13536789[[#This Row],[Inkomsten-periode]]="","",IF(Datum_Einde_IKV="","",IF(Datum_Einde_IKV&lt;=Tabel13536789[[#This Row],[DatEindTv]],Datum_Einde_IKV,"")))</f>
        <v/>
      </c>
      <c r="K12" s="138"/>
      <c r="L12" s="138"/>
      <c r="M12" s="138"/>
      <c r="N12" s="139"/>
      <c r="O12" s="140"/>
      <c r="P12" s="140"/>
      <c r="Q12" s="140"/>
      <c r="R12" s="140"/>
      <c r="S12" s="140"/>
      <c r="T12" s="140"/>
      <c r="U12" s="140"/>
      <c r="V12" s="184"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Row],[OpnAvwb]],0))))</f>
        <v/>
      </c>
      <c r="W12" s="186"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Row],[AantVerlU]],0))))</f>
        <v/>
      </c>
      <c r="X12" s="184"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f>
        <v/>
      </c>
      <c r="Y12" s="186"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Row],[AantVerlU]],"")),"")</f>
        <v/>
      </c>
    </row>
    <row r="13" spans="1:38" s="113" customFormat="1" ht="16.399999999999999" customHeight="1" x14ac:dyDescent="0.25">
      <c r="A13" s="249"/>
      <c r="B13" s="250"/>
      <c r="C13" s="200"/>
      <c r="D13" s="145" t="str">
        <f>IF(OR(Datum_Einde_IKV&gt;G12,Datum_Einde_IKV=""),IF(AND($B$2="Maandelijks", COUNTIF($D$1:D12, 12)=1), "",IF(OR(AND($B$2="Maandelijks", D12=12),AND($B$2="Vierwekelijks", D12=13), D12 = "Periode"), 1, D12+1)),"")</f>
        <v/>
      </c>
      <c r="E13" s="145" t="str">
        <f>IF(OR(Datum_Einde_IKV="",Tabel13536789[[#This Row],[DatAanvTv]]&lt;Datum_Einde_IKV),IF(E12="december","",IF(Verloningsperiodiciteit="maandelijks",rekenwaarden!F14,_xlfn.CONCAT("Periode ",rekenwaarden!E14))),"")</f>
        <v/>
      </c>
      <c r="F13" s="146" t="str">
        <f t="shared" si="0"/>
        <v/>
      </c>
      <c r="G13" s="146" t="str">
        <f>IF(F13="", "", IF(Verloningsperiodiciteit="Vierwekelijks", _xlfn.XLOOKUP(F13,rekenwaarden!$C$3:$C$54,rekenwaarden!$D$3:$D$54,"niet gevonden",-1), _xlfn.XLOOKUP(F13,rekenwaarden!$I$3:$I$54,rekenwaarden!$J$3:$J$54,"niet gevonden",-1)))</f>
        <v/>
      </c>
      <c r="H13" s="147" t="str">
        <f>IF(Tabel13536789[[#This Row],[Inkomsten-periode]]="","",DATEDIF(Geboortedatum,Tabel13536789[[#This Row],[DatEindTv]],"Y"))</f>
        <v/>
      </c>
      <c r="I13" s="146" t="str">
        <f>IF(Tabel13536789[[#This Row],[Inkomsten-periode]]="","",IF(Datum_Aanvang_IKV="","",Datum_Aanvang_IKV))</f>
        <v/>
      </c>
      <c r="J13" s="146" t="str">
        <f>IF(Tabel13536789[[#This Row],[Inkomsten-periode]]="","",IF(Datum_Einde_IKV="","",IF(Datum_Einde_IKV&lt;=Tabel13536789[[#This Row],[DatEindTv]],Datum_Einde_IKV,"")))</f>
        <v/>
      </c>
      <c r="K13" s="141"/>
      <c r="L13" s="141"/>
      <c r="M13" s="141"/>
      <c r="N13" s="142"/>
      <c r="O13" s="143"/>
      <c r="P13" s="143"/>
      <c r="Q13" s="143"/>
      <c r="R13" s="143"/>
      <c r="S13" s="143"/>
      <c r="T13" s="143"/>
      <c r="U13" s="143"/>
      <c r="V13" s="184"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Row],[OpnAvwb]],0))))</f>
        <v/>
      </c>
      <c r="W13" s="186"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Row],[AantVerlU]],0))))</f>
        <v/>
      </c>
      <c r="X13" s="184"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f>
        <v/>
      </c>
      <c r="Y13" s="186"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Row],[AantVerlU]],"")),"")</f>
        <v/>
      </c>
    </row>
    <row r="14" spans="1:38" s="113" customFormat="1" ht="16.399999999999999" customHeight="1" x14ac:dyDescent="0.25">
      <c r="A14" s="249"/>
      <c r="B14" s="250"/>
      <c r="C14" s="200"/>
      <c r="D14" s="144" t="str">
        <f>IF(OR(Datum_Einde_IKV&gt;G13,Datum_Einde_IKV=""),IF(AND($B$2="Maandelijks", COUNTIF($D$1:D13, 12)=1), "",IF(OR(AND($B$2="Maandelijks", D13=12),AND($B$2="Vierwekelijks", D13=13), D13 = "Periode"), 1, D13+1)),"")</f>
        <v/>
      </c>
      <c r="E14" s="145" t="str">
        <f>IF(OR(Datum_Einde_IKV="",Tabel13536789[[#This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IF(Tabel13536789[[#This Row],[Inkomsten-periode]]="","",DATEDIF(Geboortedatum,Tabel13536789[[#This Row],[DatEindTv]],"Y"))</f>
        <v/>
      </c>
      <c r="I14" s="146" t="str">
        <f>IF(Tabel13536789[[#This Row],[Inkomsten-periode]]="","",IF(Datum_Aanvang_IKV="","",Datum_Aanvang_IKV))</f>
        <v/>
      </c>
      <c r="J14" s="146" t="str">
        <f>IF(Tabel13536789[[#This Row],[Inkomsten-periode]]="","",IF(Datum_Einde_IKV="","",IF(Datum_Einde_IKV&lt;=Tabel13536789[[#This Row],[DatEindTv]],Datum_Einde_IKV,"")))</f>
        <v/>
      </c>
      <c r="K14" s="138"/>
      <c r="L14" s="138"/>
      <c r="M14" s="138"/>
      <c r="N14" s="139"/>
      <c r="O14" s="140"/>
      <c r="P14" s="140"/>
      <c r="Q14" s="140"/>
      <c r="R14" s="140"/>
      <c r="S14" s="140"/>
      <c r="T14" s="140"/>
      <c r="U14" s="140"/>
      <c r="V14" s="184"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Row],[OpnAvwb]],0))))</f>
        <v/>
      </c>
      <c r="W14" s="187" t="str">
        <f>IF(Tabel13536789[[#This Row],[Inkomsten-periode]]="","",IF(OR(Tabel13536789[[#This Row],[Leeftijd]]&lt;18,Tabel13536789[[#This Row],[Leeftijd]]&gt;=68),0,IF(Tabel13536789[[#This Row],[CdRdnEindArbov]]=33,0,IF(AND(OR(Tabel13536789[[#This Row],[SrtIV]]=13,Tabel13536789[[#This Row],[SrtIV]]=15,Tabel13536789[[#This Row],[SrtIV]]=31),OR(Tabel13536789[[#This Row],[CdAard]]=1,Tabel13536789[[#This Row],[CdAard]]=11,Tabel13536789[[#This Row],[CdAard]]=82,Tabel13536789[[#This Row],[CdAard]]=83)),Tabel13536789[[#This Row],[AantVerlU]],0))))</f>
        <v/>
      </c>
      <c r="X14" s="184"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Row],[LnInGld]]+Tabel13536789[[#This Row],[OpgRchtVakBsl]]-Tabel13536789[[#This Row],[VakBsl]]+Tabel13536789[[#This Row],[OpbAvwb]]-Tabel13536789[[#This Row],[OpnAvwb]],"")),"")</f>
        <v/>
      </c>
      <c r="Y14" s="187" t="str">
        <f>IF(Tabel13536789[[#This Row],[Inkomsten-periode]]="",IF(Tabel13536789[[#This Row],[CdRdnEindArbov]]=33,0,IF(AND(OR(Tabel13536789[[#This Row],[SrtIV]]=13,Tabel13536789[[#This Row],[SrtIV]]=15,Tabel13536789[[#This Row],[SrtIV]]=31),OR(Tabel13536789[[#This Row],[CdAard]]=1,Tabel13536789[[#This Row],[CdAard]]=11,Tabel13536789[[#This Row],[CdAard]]=82,Tabel13536789[[#This Row],[CdAard]]=83)),Tabel13536789[[#This Row],[AantVerlU]],"")),"")</f>
        <v/>
      </c>
    </row>
    <row r="15" spans="1:38" ht="16.399999999999999" customHeight="1" thickBot="1" x14ac:dyDescent="0.3">
      <c r="A15" s="249"/>
      <c r="B15" s="250"/>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6.399999999999999" customHeight="1" x14ac:dyDescent="0.35">
      <c r="A16" s="249"/>
      <c r="B16" s="250"/>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249"/>
      <c r="B17" s="250"/>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249"/>
      <c r="B18" s="250"/>
      <c r="C18" s="200"/>
      <c r="D18" s="163">
        <f>D2</f>
        <v>1</v>
      </c>
      <c r="E18" s="150" t="str">
        <f>E2</f>
        <v>januari</v>
      </c>
      <c r="F18" s="151">
        <f>F2</f>
        <v>46388</v>
      </c>
      <c r="G18" s="151">
        <f>G2</f>
        <v>46418</v>
      </c>
      <c r="H18" s="188">
        <f t="shared" ref="H18:H30" si="1">IF(AND(W2="",Y2=""),"",MAX(W2,Y2))</f>
        <v>173</v>
      </c>
      <c r="I18" s="191">
        <f t="shared" ref="I18:I30" si="2">IF(AND(V2="",X2=""),"",MAX(V2,X2))</f>
        <v>2862</v>
      </c>
      <c r="J18" s="188">
        <f>IF($E18="","",IF($E19="",SUM(H18:H$30),H18))</f>
        <v>173</v>
      </c>
      <c r="K18" s="191">
        <f>IF($E18="","",IF($E19="",SUM(I18:I$30),I18))</f>
        <v>2862</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2862</v>
      </c>
      <c r="T18" s="157">
        <f t="shared" ref="T18:T30" si="10">IF(M18="","",J18+IF(AND(D18&lt;&gt;1, T17&lt;&gt;""),T17,0))</f>
        <v>173</v>
      </c>
      <c r="U18" s="157">
        <f t="shared" ref="U18:U30" si="11">IF(M18="","",R18+IF(AND(D18&lt;&gt;1, U17&lt;&gt;""),U17,0))</f>
        <v>173.33333333333334</v>
      </c>
      <c r="V18" s="158">
        <f>IF(M18="",0,T18/U18)</f>
        <v>0.99807692307692297</v>
      </c>
      <c r="W18" s="159">
        <f>IF(M18="","",VLOOKUP($B$6,rekenwaarden!M$8:N$12,2))</f>
        <v>9.4499999999999993</v>
      </c>
      <c r="X18" s="160">
        <f t="shared" ref="X18:X30" si="12">IF(M18="","",W18*J18)</f>
        <v>1634.85</v>
      </c>
      <c r="Y18" s="160">
        <f t="shared" ref="Y18:Y30" si="13">IF(M18="","",X18+IF(AND(D18&lt;&gt;1, Y17&lt;&gt;""),Y17,0))</f>
        <v>1634.85</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1227.1500000000001</v>
      </c>
      <c r="AE18" s="160">
        <f t="shared" ref="AE18:AE30" si="17">IF(M18="","",AD18-IF(AND(D18&lt;&gt;1, AD17&lt;&gt;""),AD17,0))</f>
        <v>1227.1500000000001</v>
      </c>
      <c r="AF18" s="160">
        <f>IF(OR($B$8="ONWAAR", M18=""), "", MAX(MIN(S18, AC18*MIN(1, V18))-AA18*MIN(1, V18), 0))</f>
        <v>0</v>
      </c>
      <c r="AG18" s="160">
        <f t="shared" ref="AG18:AG30" si="18">IF(OR(M18="", AF18=""),"",AF18-IF(AND(D18&lt;&gt;1, AF17&lt;&gt;""),AF17,0))</f>
        <v>0</v>
      </c>
      <c r="AH18" s="161">
        <f t="shared" ref="AH18:AH30" ca="1" si="19">IF($M18="", "", AE18*INDIRECT(CONCATENATE("premiepct", YEAR(F18))))</f>
        <v>364.46355</v>
      </c>
      <c r="AI18" s="161">
        <f ca="1">IF(OR($F$4=FALSE, M18=""), "", AG18*INDIRECT(CONCATENATE("premiepct", YEAR($F18))))</f>
        <v>0</v>
      </c>
      <c r="AJ18" s="161"/>
      <c r="AK18" s="161"/>
      <c r="AL18" s="164">
        <f ca="1">IF(M18="","",SUM(AH18:AK18))</f>
        <v>364.46355</v>
      </c>
    </row>
    <row r="19" spans="1:38" s="113" customFormat="1" ht="15.65" customHeight="1" x14ac:dyDescent="0.25">
      <c r="A19" s="249"/>
      <c r="B19" s="250"/>
      <c r="C19" s="200"/>
      <c r="D19" s="163">
        <f t="shared" ref="D19:G30" si="20">D3</f>
        <v>2</v>
      </c>
      <c r="E19" s="150" t="str">
        <f t="shared" si="20"/>
        <v>februari</v>
      </c>
      <c r="F19" s="151">
        <f t="shared" si="20"/>
        <v>46419</v>
      </c>
      <c r="G19" s="151">
        <f t="shared" si="20"/>
        <v>46446</v>
      </c>
      <c r="H19" s="189">
        <f t="shared" si="1"/>
        <v>173</v>
      </c>
      <c r="I19" s="192">
        <f t="shared" si="2"/>
        <v>2862</v>
      </c>
      <c r="J19" s="189">
        <f>IF($E19="","",IF($E20="",SUM(H19:H$30),H19))</f>
        <v>173</v>
      </c>
      <c r="K19" s="192">
        <f>IF($E19="","",IF($E20="",SUM(I19:I$30),I19))</f>
        <v>2862</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5724</v>
      </c>
      <c r="T19" s="157">
        <f t="shared" si="10"/>
        <v>346</v>
      </c>
      <c r="U19" s="157">
        <f t="shared" si="11"/>
        <v>346.66666666666669</v>
      </c>
      <c r="V19" s="158">
        <f t="shared" ref="V19:V30" si="22">IF(M19="","",T19/U19)</f>
        <v>0.99807692307692297</v>
      </c>
      <c r="W19" s="159">
        <f>IF(M19="","",VLOOKUP($B$6,rekenwaarden!M$8:N$12,2))</f>
        <v>9.4499999999999993</v>
      </c>
      <c r="X19" s="160">
        <f t="shared" si="12"/>
        <v>1634.85</v>
      </c>
      <c r="Y19" s="160">
        <f t="shared" si="13"/>
        <v>3269.7</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2454.3000000000002</v>
      </c>
      <c r="AE19" s="160">
        <f t="shared" si="17"/>
        <v>1227.1500000000001</v>
      </c>
      <c r="AF19" s="160">
        <f t="shared" ref="AF19:AF30" si="23">IF(OR($B$8="ONWAAR", M19=""), "", MAX(MIN(S19, AC19*MIN(1, V19))-AA19*MIN(1, V19), 0))</f>
        <v>0</v>
      </c>
      <c r="AG19" s="160">
        <f t="shared" si="18"/>
        <v>0</v>
      </c>
      <c r="AH19" s="161">
        <f t="shared" ca="1" si="19"/>
        <v>364.46355</v>
      </c>
      <c r="AI19" s="161">
        <f t="shared" ref="AI19:AI30" ca="1" si="24">IF(OR($F$4=FALSE, M19=""), "", AG19*INDIRECT(CONCATENATE("premiepct", YEAR($F19))))</f>
        <v>0</v>
      </c>
      <c r="AJ19" s="161"/>
      <c r="AK19" s="161"/>
      <c r="AL19" s="164">
        <f t="shared" ref="AL19:AL30" ca="1" si="25">IF(M19="","",SUM(AH19:AK19))</f>
        <v>364.46355</v>
      </c>
    </row>
    <row r="20" spans="1:38" s="113" customFormat="1" ht="15.65" customHeight="1" x14ac:dyDescent="0.25">
      <c r="A20" s="249"/>
      <c r="B20" s="250"/>
      <c r="C20" s="200"/>
      <c r="D20" s="163">
        <f t="shared" si="20"/>
        <v>3</v>
      </c>
      <c r="E20" s="150" t="str">
        <f t="shared" si="20"/>
        <v>maart</v>
      </c>
      <c r="F20" s="151">
        <f t="shared" si="20"/>
        <v>46447</v>
      </c>
      <c r="G20" s="151">
        <f t="shared" si="20"/>
        <v>46477</v>
      </c>
      <c r="H20" s="188">
        <f t="shared" si="1"/>
        <v>173</v>
      </c>
      <c r="I20" s="191">
        <f t="shared" si="2"/>
        <v>2862</v>
      </c>
      <c r="J20" s="188">
        <f>IF($E20="","",IF($E21="",SUM(H20:H$30),H20))</f>
        <v>173</v>
      </c>
      <c r="K20" s="191">
        <f>IF($E20="","",IF($E21="",SUM(I20:I$30),I20))</f>
        <v>2862</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8586</v>
      </c>
      <c r="T20" s="157">
        <f t="shared" si="10"/>
        <v>519</v>
      </c>
      <c r="U20" s="157">
        <f t="shared" si="11"/>
        <v>520</v>
      </c>
      <c r="V20" s="158">
        <f t="shared" si="22"/>
        <v>0.99807692307692308</v>
      </c>
      <c r="W20" s="159">
        <f>IF(M20="","",VLOOKUP($B$6,rekenwaarden!M$8:N$12,2))</f>
        <v>9.4499999999999993</v>
      </c>
      <c r="X20" s="160">
        <f t="shared" si="12"/>
        <v>1634.85</v>
      </c>
      <c r="Y20" s="160">
        <f t="shared" si="13"/>
        <v>4904.5499999999993</v>
      </c>
      <c r="Z20" s="160">
        <f>IF(M20="","", VLOOKUP(B$6,rekenwaarden!M$8:T$12,3)*Q20)</f>
        <v>6617.4166666666661</v>
      </c>
      <c r="AA20" s="160">
        <f t="shared" si="14"/>
        <v>19852.25</v>
      </c>
      <c r="AB20" s="160">
        <f>IF(M20="","", VLOOKUP($B$6,rekenwaarden!M$8:T$12,4)*Q20)</f>
        <v>11483.333333333332</v>
      </c>
      <c r="AC20" s="160">
        <f t="shared" si="15"/>
        <v>34450</v>
      </c>
      <c r="AD20" s="160">
        <f t="shared" si="16"/>
        <v>3681.4500000000007</v>
      </c>
      <c r="AE20" s="160">
        <f t="shared" si="17"/>
        <v>1227.1500000000005</v>
      </c>
      <c r="AF20" s="160">
        <f t="shared" si="23"/>
        <v>0</v>
      </c>
      <c r="AG20" s="160">
        <f t="shared" si="18"/>
        <v>0</v>
      </c>
      <c r="AH20" s="161">
        <f t="shared" ca="1" si="19"/>
        <v>364.46355000000017</v>
      </c>
      <c r="AI20" s="161">
        <f t="shared" ca="1" si="24"/>
        <v>0</v>
      </c>
      <c r="AJ20" s="161"/>
      <c r="AK20" s="161"/>
      <c r="AL20" s="164">
        <f t="shared" ca="1" si="25"/>
        <v>364.46355000000017</v>
      </c>
    </row>
    <row r="21" spans="1:38" s="113" customFormat="1" ht="15.65" customHeight="1" x14ac:dyDescent="0.25">
      <c r="A21" s="249"/>
      <c r="B21" s="250"/>
      <c r="C21" s="200"/>
      <c r="D21" s="163">
        <f t="shared" si="20"/>
        <v>4</v>
      </c>
      <c r="E21" s="150" t="str">
        <f t="shared" si="20"/>
        <v>april</v>
      </c>
      <c r="F21" s="151">
        <f t="shared" si="20"/>
        <v>46478</v>
      </c>
      <c r="G21" s="151">
        <f t="shared" si="20"/>
        <v>46507</v>
      </c>
      <c r="H21" s="189">
        <f t="shared" si="1"/>
        <v>173</v>
      </c>
      <c r="I21" s="192">
        <f t="shared" si="2"/>
        <v>2862</v>
      </c>
      <c r="J21" s="189">
        <f>IF($E21="","",IF($E22="",SUM(H21:H$30),H21))</f>
        <v>173</v>
      </c>
      <c r="K21" s="192">
        <f>IF($E21="","",IF($E22="",SUM(I21:I$30),I21))</f>
        <v>5694</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14280</v>
      </c>
      <c r="T21" s="157">
        <f t="shared" si="10"/>
        <v>692</v>
      </c>
      <c r="U21" s="157">
        <f t="shared" si="11"/>
        <v>693.33333333333337</v>
      </c>
      <c r="V21" s="158">
        <f t="shared" si="22"/>
        <v>0.99807692307692297</v>
      </c>
      <c r="W21" s="159">
        <f>IF(M21="","",VLOOKUP($B$6,rekenwaarden!M$8:N$12,2))</f>
        <v>9.4499999999999993</v>
      </c>
      <c r="X21" s="160">
        <f t="shared" si="12"/>
        <v>1634.85</v>
      </c>
      <c r="Y21" s="160">
        <f t="shared" si="13"/>
        <v>6539.4</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7740.6</v>
      </c>
      <c r="AE21" s="160">
        <f t="shared" si="17"/>
        <v>4059.1499999999996</v>
      </c>
      <c r="AF21" s="160">
        <f t="shared" si="23"/>
        <v>0</v>
      </c>
      <c r="AG21" s="160">
        <f t="shared" si="18"/>
        <v>0</v>
      </c>
      <c r="AH21" s="161">
        <f t="shared" ca="1" si="19"/>
        <v>1205.5675499999998</v>
      </c>
      <c r="AI21" s="161">
        <f t="shared" ca="1" si="24"/>
        <v>0</v>
      </c>
      <c r="AJ21" s="161"/>
      <c r="AK21" s="161"/>
      <c r="AL21" s="164">
        <f t="shared" ca="1" si="25"/>
        <v>1205.5675499999998</v>
      </c>
    </row>
    <row r="22" spans="1:38" s="113" customFormat="1" ht="15.65" customHeight="1" x14ac:dyDescent="0.25">
      <c r="A22" s="249"/>
      <c r="B22" s="250"/>
      <c r="C22" s="200"/>
      <c r="D22" s="163" t="str">
        <f t="shared" si="20"/>
        <v/>
      </c>
      <c r="E22" s="150" t="str">
        <f t="shared" si="20"/>
        <v/>
      </c>
      <c r="F22" s="151" t="str">
        <f t="shared" si="20"/>
        <v/>
      </c>
      <c r="G22" s="151" t="str">
        <f t="shared" si="20"/>
        <v/>
      </c>
      <c r="H22" s="188">
        <f t="shared" si="1"/>
        <v>0</v>
      </c>
      <c r="I22" s="191">
        <f t="shared" si="2"/>
        <v>2832</v>
      </c>
      <c r="J22" s="188" t="str">
        <f>IF($E22="","",IF($E23="",SUM(H22:H$30),H22))</f>
        <v/>
      </c>
      <c r="K22" s="191" t="str">
        <f>IF($E22="","",IF($E23="",SUM(I22:I$30),I22))</f>
        <v/>
      </c>
      <c r="L22" s="152" t="str">
        <f t="shared" si="3"/>
        <v/>
      </c>
      <c r="M22" s="151" t="str">
        <f t="shared" si="4"/>
        <v/>
      </c>
      <c r="N22" s="151" t="str">
        <f t="shared" si="5"/>
        <v/>
      </c>
      <c r="O22" s="150" t="str">
        <f t="shared" si="21"/>
        <v/>
      </c>
      <c r="P22" s="153" t="str">
        <f t="shared" si="6"/>
        <v/>
      </c>
      <c r="Q22" s="154" t="str">
        <f t="shared" si="7"/>
        <v/>
      </c>
      <c r="R22" s="155" t="str">
        <f t="shared" si="8"/>
        <v/>
      </c>
      <c r="S22" s="156" t="str">
        <f t="shared" si="9"/>
        <v/>
      </c>
      <c r="T22" s="157" t="str">
        <f t="shared" si="10"/>
        <v/>
      </c>
      <c r="U22" s="157" t="str">
        <f t="shared" si="11"/>
        <v/>
      </c>
      <c r="V22" s="158" t="str">
        <f t="shared" si="22"/>
        <v/>
      </c>
      <c r="W22" s="159" t="str">
        <f>IF(M22="","",VLOOKUP($B$6,rekenwaarden!M$8:N$12,2))</f>
        <v/>
      </c>
      <c r="X22" s="160" t="str">
        <f t="shared" si="12"/>
        <v/>
      </c>
      <c r="Y22" s="160" t="str">
        <f t="shared" si="13"/>
        <v/>
      </c>
      <c r="Z22" s="160" t="str">
        <f>IF(M22="","", VLOOKUP(B$6,rekenwaarden!M$8:T$12,3)*Q22)</f>
        <v/>
      </c>
      <c r="AA22" s="160" t="str">
        <f t="shared" si="14"/>
        <v/>
      </c>
      <c r="AB22" s="160" t="str">
        <f>IF(M22="","", VLOOKUP($B$6,rekenwaarden!M$8:T$12,4)*Q22)</f>
        <v/>
      </c>
      <c r="AC22" s="160" t="str">
        <f t="shared" si="15"/>
        <v/>
      </c>
      <c r="AD22" s="160" t="str">
        <f t="shared" si="16"/>
        <v/>
      </c>
      <c r="AE22" s="160" t="str">
        <f t="shared" si="17"/>
        <v/>
      </c>
      <c r="AF22" s="160" t="str">
        <f t="shared" si="23"/>
        <v/>
      </c>
      <c r="AG22" s="160" t="str">
        <f t="shared" si="18"/>
        <v/>
      </c>
      <c r="AH22" s="161" t="str">
        <f t="shared" ca="1" si="19"/>
        <v/>
      </c>
      <c r="AI22" s="161" t="str">
        <f t="shared" ca="1" si="24"/>
        <v/>
      </c>
      <c r="AJ22" s="161"/>
      <c r="AK22" s="161"/>
      <c r="AL22" s="164" t="str">
        <f t="shared" si="25"/>
        <v/>
      </c>
    </row>
    <row r="23" spans="1:38" s="113" customFormat="1" ht="15.65" customHeight="1" x14ac:dyDescent="0.25">
      <c r="A23" s="249"/>
      <c r="B23" s="250"/>
      <c r="C23" s="200"/>
      <c r="D23" s="163" t="str">
        <f t="shared" si="20"/>
        <v/>
      </c>
      <c r="E23" s="150" t="str">
        <f t="shared" si="20"/>
        <v/>
      </c>
      <c r="F23" s="151" t="str">
        <f t="shared" si="20"/>
        <v/>
      </c>
      <c r="G23" s="151" t="str">
        <f t="shared" si="20"/>
        <v/>
      </c>
      <c r="H23" s="189" t="str">
        <f t="shared" si="1"/>
        <v/>
      </c>
      <c r="I23" s="192" t="str">
        <f t="shared" si="2"/>
        <v/>
      </c>
      <c r="J23" s="189" t="str">
        <f>IF($E23="","",IF($E24="",SUM(H23:H$30),H23))</f>
        <v/>
      </c>
      <c r="K23" s="192" t="str">
        <f>IF($E23="","",IF($E24="",SUM(I23:I$30),I23))</f>
        <v/>
      </c>
      <c r="L23" s="152" t="str">
        <f t="shared" si="3"/>
        <v/>
      </c>
      <c r="M23" s="151" t="str">
        <f t="shared" si="4"/>
        <v/>
      </c>
      <c r="N23" s="151" t="str">
        <f t="shared" si="5"/>
        <v/>
      </c>
      <c r="O23" s="150" t="str">
        <f t="shared" si="21"/>
        <v/>
      </c>
      <c r="P23" s="153" t="str">
        <f t="shared" si="6"/>
        <v/>
      </c>
      <c r="Q23" s="154" t="str">
        <f t="shared" si="7"/>
        <v/>
      </c>
      <c r="R23" s="155" t="str">
        <f t="shared" si="8"/>
        <v/>
      </c>
      <c r="S23" s="156" t="str">
        <f t="shared" si="9"/>
        <v/>
      </c>
      <c r="T23" s="157" t="str">
        <f t="shared" si="10"/>
        <v/>
      </c>
      <c r="U23" s="157" t="str">
        <f t="shared" si="11"/>
        <v/>
      </c>
      <c r="V23" s="158" t="str">
        <f t="shared" si="22"/>
        <v/>
      </c>
      <c r="W23" s="159" t="str">
        <f>IF(M23="","",VLOOKUP($B$6,rekenwaarden!M$8:N$12,2))</f>
        <v/>
      </c>
      <c r="X23" s="160" t="str">
        <f t="shared" si="12"/>
        <v/>
      </c>
      <c r="Y23" s="160" t="str">
        <f t="shared" si="13"/>
        <v/>
      </c>
      <c r="Z23" s="160" t="str">
        <f>IF(M23="","", VLOOKUP(B$6,rekenwaarden!M$8:T$12,3)*Q23)</f>
        <v/>
      </c>
      <c r="AA23" s="160" t="str">
        <f t="shared" si="14"/>
        <v/>
      </c>
      <c r="AB23" s="160" t="str">
        <f>IF(M23="","", VLOOKUP($B$6,rekenwaarden!M$8:T$12,4)*Q23)</f>
        <v/>
      </c>
      <c r="AC23" s="160" t="str">
        <f t="shared" si="15"/>
        <v/>
      </c>
      <c r="AD23" s="160" t="str">
        <f t="shared" si="16"/>
        <v/>
      </c>
      <c r="AE23" s="160" t="str">
        <f t="shared" si="17"/>
        <v/>
      </c>
      <c r="AF23" s="160" t="str">
        <f t="shared" si="23"/>
        <v/>
      </c>
      <c r="AG23" s="160" t="str">
        <f t="shared" si="18"/>
        <v/>
      </c>
      <c r="AH23" s="161" t="str">
        <f t="shared" ca="1" si="19"/>
        <v/>
      </c>
      <c r="AI23" s="161" t="str">
        <f t="shared" ca="1" si="24"/>
        <v/>
      </c>
      <c r="AJ23" s="161"/>
      <c r="AK23" s="161"/>
      <c r="AL23" s="164" t="str">
        <f t="shared" si="25"/>
        <v/>
      </c>
    </row>
    <row r="24" spans="1:38" s="113" customFormat="1" ht="15.65" customHeight="1" x14ac:dyDescent="0.25">
      <c r="A24" s="249"/>
      <c r="B24" s="250"/>
      <c r="C24" s="200"/>
      <c r="D24" s="163" t="str">
        <f t="shared" si="20"/>
        <v/>
      </c>
      <c r="E24" s="150" t="str">
        <f t="shared" si="20"/>
        <v/>
      </c>
      <c r="F24" s="151" t="str">
        <f t="shared" si="20"/>
        <v/>
      </c>
      <c r="G24" s="151" t="str">
        <f t="shared" si="20"/>
        <v/>
      </c>
      <c r="H24" s="188" t="str">
        <f t="shared" si="1"/>
        <v/>
      </c>
      <c r="I24" s="191" t="str">
        <f t="shared" si="2"/>
        <v/>
      </c>
      <c r="J24" s="188" t="str">
        <f>IF($E24="","",IF($E25="",SUM(H24:H$30),H24))</f>
        <v/>
      </c>
      <c r="K24" s="191" t="str">
        <f>IF($E24="","",IF($E25="",SUM(I24:I$30),I24))</f>
        <v/>
      </c>
      <c r="L24" s="152" t="str">
        <f t="shared" si="3"/>
        <v/>
      </c>
      <c r="M24" s="151" t="str">
        <f t="shared" si="4"/>
        <v/>
      </c>
      <c r="N24" s="151" t="str">
        <f t="shared" si="5"/>
        <v/>
      </c>
      <c r="O24" s="150" t="str">
        <f t="shared" si="21"/>
        <v/>
      </c>
      <c r="P24" s="153" t="str">
        <f t="shared" si="6"/>
        <v/>
      </c>
      <c r="Q24" s="154" t="str">
        <f t="shared" si="7"/>
        <v/>
      </c>
      <c r="R24" s="155" t="str">
        <f t="shared" si="8"/>
        <v/>
      </c>
      <c r="S24" s="156" t="str">
        <f t="shared" si="9"/>
        <v/>
      </c>
      <c r="T24" s="157" t="str">
        <f t="shared" si="10"/>
        <v/>
      </c>
      <c r="U24" s="157" t="str">
        <f t="shared" si="11"/>
        <v/>
      </c>
      <c r="V24" s="158" t="str">
        <f t="shared" si="22"/>
        <v/>
      </c>
      <c r="W24" s="159" t="str">
        <f>IF(M24="","",VLOOKUP($B$6,rekenwaarden!M$8:N$12,2))</f>
        <v/>
      </c>
      <c r="X24" s="160" t="str">
        <f t="shared" si="12"/>
        <v/>
      </c>
      <c r="Y24" s="160" t="str">
        <f t="shared" si="13"/>
        <v/>
      </c>
      <c r="Z24" s="160" t="str">
        <f>IF(M24="","", VLOOKUP(B$6,rekenwaarden!M$8:T$12,3)*Q24)</f>
        <v/>
      </c>
      <c r="AA24" s="160" t="str">
        <f t="shared" si="14"/>
        <v/>
      </c>
      <c r="AB24" s="160" t="str">
        <f>IF(M24="","", VLOOKUP($B$6,rekenwaarden!M$8:T$12,4)*Q24)</f>
        <v/>
      </c>
      <c r="AC24" s="160" t="str">
        <f t="shared" si="15"/>
        <v/>
      </c>
      <c r="AD24" s="160" t="str">
        <f t="shared" si="16"/>
        <v/>
      </c>
      <c r="AE24" s="160" t="str">
        <f t="shared" si="17"/>
        <v/>
      </c>
      <c r="AF24" s="160" t="str">
        <f t="shared" si="23"/>
        <v/>
      </c>
      <c r="AG24" s="160" t="str">
        <f t="shared" si="18"/>
        <v/>
      </c>
      <c r="AH24" s="161" t="str">
        <f t="shared" ca="1" si="19"/>
        <v/>
      </c>
      <c r="AI24" s="161" t="str">
        <f t="shared" ca="1" si="24"/>
        <v/>
      </c>
      <c r="AJ24" s="161"/>
      <c r="AK24" s="161"/>
      <c r="AL24" s="164" t="str">
        <f t="shared" si="25"/>
        <v/>
      </c>
    </row>
    <row r="25" spans="1:38" s="113" customFormat="1" ht="15.65" customHeight="1" x14ac:dyDescent="0.25">
      <c r="A25" s="249"/>
      <c r="B25" s="250"/>
      <c r="C25" s="200"/>
      <c r="D25" s="163" t="str">
        <f t="shared" si="20"/>
        <v/>
      </c>
      <c r="E25" s="150" t="str">
        <f t="shared" si="20"/>
        <v/>
      </c>
      <c r="F25" s="151" t="str">
        <f t="shared" si="20"/>
        <v/>
      </c>
      <c r="G25" s="151" t="str">
        <f t="shared" si="20"/>
        <v/>
      </c>
      <c r="H25" s="189" t="str">
        <f t="shared" si="1"/>
        <v/>
      </c>
      <c r="I25" s="192" t="str">
        <f t="shared" si="2"/>
        <v/>
      </c>
      <c r="J25" s="189" t="str">
        <f>IF($E25="","",IF($E26="",SUM(H25:H$30),H25))</f>
        <v/>
      </c>
      <c r="K25" s="192" t="str">
        <f>IF($E25="","",IF($E26="",SUM(I25:I$30),I25))</f>
        <v/>
      </c>
      <c r="L25" s="152" t="str">
        <f t="shared" si="3"/>
        <v/>
      </c>
      <c r="M25" s="151" t="str">
        <f t="shared" si="4"/>
        <v/>
      </c>
      <c r="N25" s="151" t="str">
        <f t="shared" si="5"/>
        <v/>
      </c>
      <c r="O25" s="150" t="str">
        <f t="shared" si="21"/>
        <v/>
      </c>
      <c r="P25" s="153" t="str">
        <f t="shared" si="6"/>
        <v/>
      </c>
      <c r="Q25" s="154" t="str">
        <f t="shared" si="7"/>
        <v/>
      </c>
      <c r="R25" s="155" t="str">
        <f t="shared" si="8"/>
        <v/>
      </c>
      <c r="S25" s="156" t="str">
        <f t="shared" si="9"/>
        <v/>
      </c>
      <c r="T25" s="157" t="str">
        <f t="shared" si="10"/>
        <v/>
      </c>
      <c r="U25" s="157" t="str">
        <f t="shared" si="11"/>
        <v/>
      </c>
      <c r="V25" s="158" t="str">
        <f t="shared" si="22"/>
        <v/>
      </c>
      <c r="W25" s="159" t="str">
        <f>IF(M25="","",VLOOKUP($B$6,rekenwaarden!M$8:N$12,2))</f>
        <v/>
      </c>
      <c r="X25" s="160" t="str">
        <f t="shared" si="12"/>
        <v/>
      </c>
      <c r="Y25" s="160" t="str">
        <f t="shared" si="13"/>
        <v/>
      </c>
      <c r="Z25" s="160" t="str">
        <f>IF(M25="","", VLOOKUP(B$6,rekenwaarden!M$8:T$12,3)*Q25)</f>
        <v/>
      </c>
      <c r="AA25" s="160" t="str">
        <f t="shared" si="14"/>
        <v/>
      </c>
      <c r="AB25" s="160" t="str">
        <f>IF(M25="","", VLOOKUP($B$6,rekenwaarden!M$8:T$12,4)*Q25)</f>
        <v/>
      </c>
      <c r="AC25" s="160" t="str">
        <f t="shared" si="15"/>
        <v/>
      </c>
      <c r="AD25" s="160" t="str">
        <f t="shared" si="16"/>
        <v/>
      </c>
      <c r="AE25" s="160" t="str">
        <f t="shared" si="17"/>
        <v/>
      </c>
      <c r="AF25" s="160" t="str">
        <f t="shared" si="23"/>
        <v/>
      </c>
      <c r="AG25" s="160" t="str">
        <f t="shared" si="18"/>
        <v/>
      </c>
      <c r="AH25" s="161" t="str">
        <f t="shared" ca="1" si="19"/>
        <v/>
      </c>
      <c r="AI25" s="161" t="str">
        <f t="shared" ca="1" si="24"/>
        <v/>
      </c>
      <c r="AJ25" s="161"/>
      <c r="AK25" s="161"/>
      <c r="AL25" s="164" t="str">
        <f t="shared" si="25"/>
        <v/>
      </c>
    </row>
    <row r="26" spans="1:38" s="113" customFormat="1" ht="15.65" customHeight="1" x14ac:dyDescent="0.25">
      <c r="A26" s="125"/>
      <c r="B26" s="126"/>
      <c r="C26" s="200"/>
      <c r="D26" s="163" t="str">
        <f t="shared" si="20"/>
        <v/>
      </c>
      <c r="E26" s="150" t="str">
        <f t="shared" si="20"/>
        <v/>
      </c>
      <c r="F26" s="151" t="str">
        <f t="shared" si="20"/>
        <v/>
      </c>
      <c r="G26" s="151" t="str">
        <f t="shared" si="20"/>
        <v/>
      </c>
      <c r="H26" s="188" t="str">
        <f t="shared" si="1"/>
        <v/>
      </c>
      <c r="I26" s="191" t="str">
        <f t="shared" si="2"/>
        <v/>
      </c>
      <c r="J26" s="188" t="str">
        <f>IF($E26="","",IF($E27="",SUM(H26:H$30),H26))</f>
        <v/>
      </c>
      <c r="K26" s="191" t="str">
        <f>IF($E26="","",IF($E27="",SUM(I26:I$30),I26))</f>
        <v/>
      </c>
      <c r="L26" s="152" t="str">
        <f t="shared" si="3"/>
        <v/>
      </c>
      <c r="M26" s="151" t="str">
        <f t="shared" si="4"/>
        <v/>
      </c>
      <c r="N26" s="151" t="str">
        <f t="shared" si="5"/>
        <v/>
      </c>
      <c r="O26" s="150" t="str">
        <f t="shared" si="21"/>
        <v/>
      </c>
      <c r="P26" s="153" t="str">
        <f t="shared" si="6"/>
        <v/>
      </c>
      <c r="Q26" s="154" t="str">
        <f t="shared" si="7"/>
        <v/>
      </c>
      <c r="R26" s="155" t="str">
        <f t="shared" si="8"/>
        <v/>
      </c>
      <c r="S26" s="156" t="str">
        <f t="shared" si="9"/>
        <v/>
      </c>
      <c r="T26" s="157" t="str">
        <f t="shared" si="10"/>
        <v/>
      </c>
      <c r="U26" s="157" t="str">
        <f t="shared" si="11"/>
        <v/>
      </c>
      <c r="V26" s="158" t="str">
        <f t="shared" si="22"/>
        <v/>
      </c>
      <c r="W26" s="159" t="str">
        <f>IF(M26="","",VLOOKUP($B$6,rekenwaarden!M$8:N$12,2))</f>
        <v/>
      </c>
      <c r="X26" s="160" t="str">
        <f t="shared" si="12"/>
        <v/>
      </c>
      <c r="Y26" s="160" t="str">
        <f t="shared" si="13"/>
        <v/>
      </c>
      <c r="Z26" s="160" t="str">
        <f>IF(M26="","", VLOOKUP(B$6,rekenwaarden!M$8:T$12,3)*Q26)</f>
        <v/>
      </c>
      <c r="AA26" s="160" t="str">
        <f t="shared" si="14"/>
        <v/>
      </c>
      <c r="AB26" s="160" t="str">
        <f>IF(M26="","", VLOOKUP($B$6,rekenwaarden!M$8:T$12,4)*Q26)</f>
        <v/>
      </c>
      <c r="AC26" s="160" t="str">
        <f t="shared" si="15"/>
        <v/>
      </c>
      <c r="AD26" s="160" t="str">
        <f t="shared" si="16"/>
        <v/>
      </c>
      <c r="AE26" s="160" t="str">
        <f t="shared" si="17"/>
        <v/>
      </c>
      <c r="AF26" s="160" t="str">
        <f t="shared" si="23"/>
        <v/>
      </c>
      <c r="AG26" s="160" t="str">
        <f t="shared" si="18"/>
        <v/>
      </c>
      <c r="AH26" s="161" t="str">
        <f t="shared" ca="1" si="19"/>
        <v/>
      </c>
      <c r="AI26" s="161" t="str">
        <f t="shared" ca="1" si="24"/>
        <v/>
      </c>
      <c r="AJ26" s="161"/>
      <c r="AK26" s="161"/>
      <c r="AL26" s="164" t="str">
        <f t="shared" si="25"/>
        <v/>
      </c>
    </row>
    <row r="27" spans="1:38" s="113" customFormat="1" ht="15.65" customHeight="1" x14ac:dyDescent="0.25">
      <c r="A27" s="125"/>
      <c r="B27" s="126"/>
      <c r="C27" s="200"/>
      <c r="D27" s="163" t="str">
        <f t="shared" si="20"/>
        <v/>
      </c>
      <c r="E27" s="150" t="str">
        <f t="shared" si="20"/>
        <v/>
      </c>
      <c r="F27" s="151" t="str">
        <f t="shared" si="20"/>
        <v/>
      </c>
      <c r="G27" s="151" t="str">
        <f t="shared" si="20"/>
        <v/>
      </c>
      <c r="H27" s="189" t="str">
        <f t="shared" si="1"/>
        <v/>
      </c>
      <c r="I27" s="192" t="str">
        <f t="shared" si="2"/>
        <v/>
      </c>
      <c r="J27" s="189" t="str">
        <f>IF($E27="","",IF($E28="",SUM(H27:H$30),H27))</f>
        <v/>
      </c>
      <c r="K27" s="192" t="str">
        <f>IF($E27="","",IF($E28="",SUM(I27:I$30),I27))</f>
        <v/>
      </c>
      <c r="L27" s="152" t="str">
        <f t="shared" si="3"/>
        <v/>
      </c>
      <c r="M27" s="151" t="str">
        <f t="shared" si="4"/>
        <v/>
      </c>
      <c r="N27" s="151" t="str">
        <f t="shared" si="5"/>
        <v/>
      </c>
      <c r="O27" s="150" t="str">
        <f t="shared" si="21"/>
        <v/>
      </c>
      <c r="P27" s="153" t="str">
        <f t="shared" si="6"/>
        <v/>
      </c>
      <c r="Q27" s="154" t="str">
        <f t="shared" si="7"/>
        <v/>
      </c>
      <c r="R27" s="155" t="str">
        <f t="shared" si="8"/>
        <v/>
      </c>
      <c r="S27" s="156" t="str">
        <f t="shared" si="9"/>
        <v/>
      </c>
      <c r="T27" s="157" t="str">
        <f t="shared" si="10"/>
        <v/>
      </c>
      <c r="U27" s="157" t="str">
        <f t="shared" si="11"/>
        <v/>
      </c>
      <c r="V27" s="158" t="str">
        <f t="shared" si="22"/>
        <v/>
      </c>
      <c r="W27" s="159" t="str">
        <f>IF(M27="","",VLOOKUP($B$6,rekenwaarden!M$8:N$12,2))</f>
        <v/>
      </c>
      <c r="X27" s="160" t="str">
        <f t="shared" si="12"/>
        <v/>
      </c>
      <c r="Y27" s="160" t="str">
        <f t="shared" si="13"/>
        <v/>
      </c>
      <c r="Z27" s="160" t="str">
        <f>IF(M27="","", VLOOKUP(B$6,rekenwaarden!M$8:T$12,3)*Q27)</f>
        <v/>
      </c>
      <c r="AA27" s="160" t="str">
        <f t="shared" si="14"/>
        <v/>
      </c>
      <c r="AB27" s="160" t="str">
        <f>IF(M27="","", VLOOKUP($B$6,rekenwaarden!M$8:T$12,4)*Q27)</f>
        <v/>
      </c>
      <c r="AC27" s="160" t="str">
        <f t="shared" si="15"/>
        <v/>
      </c>
      <c r="AD27" s="160" t="str">
        <f t="shared" si="16"/>
        <v/>
      </c>
      <c r="AE27" s="160" t="str">
        <f t="shared" si="17"/>
        <v/>
      </c>
      <c r="AF27" s="160" t="str">
        <f t="shared" si="23"/>
        <v/>
      </c>
      <c r="AG27" s="160" t="str">
        <f t="shared" si="18"/>
        <v/>
      </c>
      <c r="AH27" s="161" t="str">
        <f t="shared" ca="1" si="19"/>
        <v/>
      </c>
      <c r="AI27" s="161" t="str">
        <f t="shared" ca="1" si="24"/>
        <v/>
      </c>
      <c r="AJ27" s="161"/>
      <c r="AK27" s="161"/>
      <c r="AL27" s="164" t="str">
        <f t="shared" si="25"/>
        <v/>
      </c>
    </row>
    <row r="28" spans="1:38" s="113" customFormat="1" ht="15.65" customHeight="1" x14ac:dyDescent="0.25">
      <c r="A28" s="125"/>
      <c r="B28" s="126"/>
      <c r="C28" s="200"/>
      <c r="D28" s="163" t="str">
        <f t="shared" si="20"/>
        <v/>
      </c>
      <c r="E28" s="150" t="str">
        <f t="shared" si="20"/>
        <v/>
      </c>
      <c r="F28" s="151" t="str">
        <f t="shared" si="20"/>
        <v/>
      </c>
      <c r="G28" s="151" t="str">
        <f t="shared" si="20"/>
        <v/>
      </c>
      <c r="H28" s="188" t="str">
        <f t="shared" si="1"/>
        <v/>
      </c>
      <c r="I28" s="191" t="str">
        <f t="shared" si="2"/>
        <v/>
      </c>
      <c r="J28" s="188" t="str">
        <f>IF($E28="","",IF($E29="",SUM(H28:H$30),H28))</f>
        <v/>
      </c>
      <c r="K28" s="191" t="str">
        <f>IF($E28="","",IF($E29="",SUM(I28:I$30),I28))</f>
        <v/>
      </c>
      <c r="L28" s="152" t="str">
        <f t="shared" si="3"/>
        <v/>
      </c>
      <c r="M28" s="151" t="str">
        <f t="shared" si="4"/>
        <v/>
      </c>
      <c r="N28" s="151" t="str">
        <f t="shared" si="5"/>
        <v/>
      </c>
      <c r="O28" s="150" t="str">
        <f t="shared" si="21"/>
        <v/>
      </c>
      <c r="P28" s="153" t="str">
        <f t="shared" si="6"/>
        <v/>
      </c>
      <c r="Q28" s="154" t="str">
        <f t="shared" si="7"/>
        <v/>
      </c>
      <c r="R28" s="155" t="str">
        <f t="shared" si="8"/>
        <v/>
      </c>
      <c r="S28" s="156" t="str">
        <f t="shared" si="9"/>
        <v/>
      </c>
      <c r="T28" s="157" t="str">
        <f t="shared" si="10"/>
        <v/>
      </c>
      <c r="U28" s="157" t="str">
        <f t="shared" si="11"/>
        <v/>
      </c>
      <c r="V28" s="158" t="str">
        <f t="shared" si="22"/>
        <v/>
      </c>
      <c r="W28" s="159" t="str">
        <f>IF(M28="","",VLOOKUP($B$6,rekenwaarden!M$8:N$12,2))</f>
        <v/>
      </c>
      <c r="X28" s="160" t="str">
        <f t="shared" si="12"/>
        <v/>
      </c>
      <c r="Y28" s="160" t="str">
        <f t="shared" si="13"/>
        <v/>
      </c>
      <c r="Z28" s="160" t="str">
        <f>IF(M28="","", VLOOKUP(B$6,rekenwaarden!M$8:T$12,3)*Q28)</f>
        <v/>
      </c>
      <c r="AA28" s="160" t="str">
        <f t="shared" si="14"/>
        <v/>
      </c>
      <c r="AB28" s="160" t="str">
        <f>IF(M28="","", VLOOKUP($B$6,rekenwaarden!M$8:T$12,4)*Q28)</f>
        <v/>
      </c>
      <c r="AC28" s="160" t="str">
        <f t="shared" si="15"/>
        <v/>
      </c>
      <c r="AD28" s="160" t="str">
        <f t="shared" si="16"/>
        <v/>
      </c>
      <c r="AE28" s="160" t="str">
        <f t="shared" si="17"/>
        <v/>
      </c>
      <c r="AF28" s="160" t="str">
        <f t="shared" si="23"/>
        <v/>
      </c>
      <c r="AG28" s="160" t="str">
        <f t="shared" si="18"/>
        <v/>
      </c>
      <c r="AH28" s="161" t="str">
        <f t="shared" ca="1" si="19"/>
        <v/>
      </c>
      <c r="AI28" s="161" t="str">
        <f t="shared" ca="1" si="24"/>
        <v/>
      </c>
      <c r="AJ28" s="161"/>
      <c r="AK28" s="161"/>
      <c r="AL28" s="164" t="str">
        <f t="shared" si="25"/>
        <v/>
      </c>
    </row>
    <row r="29" spans="1:38" s="113" customFormat="1" ht="15.65" customHeight="1" x14ac:dyDescent="0.25">
      <c r="A29" s="125"/>
      <c r="B29" s="126"/>
      <c r="C29" s="200"/>
      <c r="D29" s="163" t="str">
        <f t="shared" si="20"/>
        <v/>
      </c>
      <c r="E29" s="150" t="str">
        <f t="shared" si="20"/>
        <v/>
      </c>
      <c r="F29" s="151" t="str">
        <f t="shared" si="20"/>
        <v/>
      </c>
      <c r="G29" s="151" t="str">
        <f t="shared" si="20"/>
        <v/>
      </c>
      <c r="H29" s="189" t="str">
        <f t="shared" si="1"/>
        <v/>
      </c>
      <c r="I29" s="192" t="str">
        <f t="shared" si="2"/>
        <v/>
      </c>
      <c r="J29" s="189" t="str">
        <f>IF($E29="","",IF($E30="",SUM(H29:H$30),H29))</f>
        <v/>
      </c>
      <c r="K29" s="192" t="str">
        <f>IF($E29="","",IF($E30="",SUM(I29:I$30),I29))</f>
        <v/>
      </c>
      <c r="L29" s="152" t="str">
        <f t="shared" si="3"/>
        <v/>
      </c>
      <c r="M29" s="151" t="str">
        <f t="shared" si="4"/>
        <v/>
      </c>
      <c r="N29" s="151" t="str">
        <f t="shared" si="5"/>
        <v/>
      </c>
      <c r="O29" s="150" t="str">
        <f t="shared" si="21"/>
        <v/>
      </c>
      <c r="P29" s="153" t="str">
        <f t="shared" si="6"/>
        <v/>
      </c>
      <c r="Q29" s="154" t="str">
        <f t="shared" si="7"/>
        <v/>
      </c>
      <c r="R29" s="155" t="str">
        <f t="shared" si="8"/>
        <v/>
      </c>
      <c r="S29" s="156" t="str">
        <f t="shared" si="9"/>
        <v/>
      </c>
      <c r="T29" s="157" t="str">
        <f t="shared" si="10"/>
        <v/>
      </c>
      <c r="U29" s="157" t="str">
        <f t="shared" si="11"/>
        <v/>
      </c>
      <c r="V29" s="158" t="str">
        <f t="shared" si="22"/>
        <v/>
      </c>
      <c r="W29" s="159" t="str">
        <f>IF(M29="","",VLOOKUP($B$6,rekenwaarden!M$8:N$12,2))</f>
        <v/>
      </c>
      <c r="X29" s="160" t="str">
        <f t="shared" si="12"/>
        <v/>
      </c>
      <c r="Y29" s="160" t="str">
        <f t="shared" si="13"/>
        <v/>
      </c>
      <c r="Z29" s="160" t="str">
        <f>IF(M29="","", VLOOKUP(B$6,rekenwaarden!M$8:T$12,3)*Q29)</f>
        <v/>
      </c>
      <c r="AA29" s="160" t="str">
        <f t="shared" si="14"/>
        <v/>
      </c>
      <c r="AB29" s="160" t="str">
        <f>IF(M29="","", VLOOKUP($B$6,rekenwaarden!M$8:T$12,4)*Q29)</f>
        <v/>
      </c>
      <c r="AC29" s="160" t="str">
        <f t="shared" si="15"/>
        <v/>
      </c>
      <c r="AD29" s="160" t="str">
        <f t="shared" si="16"/>
        <v/>
      </c>
      <c r="AE29" s="160" t="str">
        <f t="shared" si="17"/>
        <v/>
      </c>
      <c r="AF29" s="160" t="str">
        <f t="shared" si="23"/>
        <v/>
      </c>
      <c r="AG29" s="160" t="str">
        <f t="shared" si="18"/>
        <v/>
      </c>
      <c r="AH29" s="161" t="str">
        <f t="shared" ca="1" si="19"/>
        <v/>
      </c>
      <c r="AI29" s="161" t="str">
        <f t="shared" ca="1" si="24"/>
        <v/>
      </c>
      <c r="AJ29" s="161"/>
      <c r="AK29" s="161"/>
      <c r="AL29" s="164" t="str">
        <f t="shared" si="25"/>
        <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sheetData>
  <sheetProtection algorithmName="SHA-512" hashValue="Ojg/HLWJvydWgPhFz2CX5RqfTaXNQI9Ayx8taU9Oa9jJt5x3dgDlzUYsdPxsVpu5iAmInpYwmcSIrB6xsmO4FQ==" saltValue="YA/tohMPI5kV74BrbStAtw==" spinCount="100000" sheet="1" objects="1" scenarios="1"/>
  <protectedRanges>
    <protectedRange sqref="K2:U14" name="Loonaangiftebericht"/>
    <protectedRange sqref="B1:B9" name="Persoon en IKV"/>
  </protectedRanges>
  <mergeCells count="3">
    <mergeCell ref="A11:B11"/>
    <mergeCell ref="A12:B25"/>
    <mergeCell ref="D17:E17"/>
  </mergeCells>
  <dataValidations count="8">
    <dataValidation type="list" allowBlank="1" showInputMessage="1" showErrorMessage="1" sqref="B2" xr:uid="{F9C95A78-F81E-4FC2-A2CE-9E69BCCA46DA}">
      <formula1>"Maandelijks,Vierwekelijks"</formula1>
    </dataValidation>
    <dataValidation type="list" allowBlank="1" showInputMessage="1" showErrorMessage="1" sqref="B8:C8" xr:uid="{9E1A4CEF-DF60-43C8-8CD4-CEA936AF091C}">
      <formula1>"WAAR,NIET WAAR"</formula1>
    </dataValidation>
    <dataValidation type="list" allowBlank="1" showInputMessage="1" showErrorMessage="1" sqref="B1:C1" xr:uid="{B974738B-55E0-4578-BD5F-0EF7F9AB9D89}">
      <formula1>"2027,2028"</formula1>
    </dataValidation>
    <dataValidation type="list" allowBlank="1" showInputMessage="1" showErrorMessage="1" sqref="C2" xr:uid="{C27B0602-8C9A-4CE8-B70E-0185A7F41BEC}">
      <formula1>"maandelijks,vierwekelijks"</formula1>
    </dataValidation>
    <dataValidation type="list" allowBlank="1" showInputMessage="1" showErrorMessage="1" sqref="L2:L14" xr:uid="{43F3AC12-191B-48B2-8448-6E5118F646B5}">
      <formula1>Code_Soort_IKV</formula1>
    </dataValidation>
    <dataValidation type="list" allowBlank="1" showInputMessage="1" showErrorMessage="1" sqref="M2:M14" xr:uid="{4030F87F-593F-4A88-A173-53B090588FA5}">
      <formula1>Code_Aard_Arbeidsverhouding</formula1>
    </dataValidation>
    <dataValidation type="list" allowBlank="1" showInputMessage="1" showErrorMessage="1" sqref="K2:K14" xr:uid="{CCAE109A-0F55-4DE8-BC2E-BED643EF11A4}">
      <formula1>Code_Reden_Einde_Arbeidsverhouding</formula1>
    </dataValidation>
    <dataValidation type="whole" allowBlank="1" showInputMessage="1" showErrorMessage="1" promptTitle="Handboek Loonheffingen: " prompt="Rekenkundig afgeronde hele uren" sqref="N2:N14" xr:uid="{BFA045A0-EE37-4D41-B6C2-A233D6DB638F}">
      <formula1>-999</formula1>
      <formula2>999</formula2>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A2610448-245C-47C1-9A5C-0AF5CB8FBBFC}">
          <x14:formula1>
            <xm:f>rekenwaarden!$M$8:$M$12</xm:f>
          </x14:formula1>
          <xm:sqref>B6:C6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3773C-08F7-46D1-AC67-BFBC879D5450}">
  <sheetPr>
    <tabColor theme="4" tint="-0.249977111117893"/>
  </sheetPr>
  <dimension ref="A1:AL30"/>
  <sheetViews>
    <sheetView showGridLines="0" zoomScale="90" zoomScaleNormal="90" workbookViewId="0">
      <pane xSplit="2" ySplit="30" topLeftCell="F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179687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8.1796875" customWidth="1"/>
    <col min="22" max="33" width="15.81640625" customWidth="1"/>
    <col min="34" max="34" width="19.453125" bestFit="1" customWidth="1"/>
    <col min="35" max="35" width="20.453125" customWidth="1"/>
    <col min="36" max="36" width="12.81640625" bestFit="1"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210" t="s">
        <v>18</v>
      </c>
      <c r="W1" s="211" t="s">
        <v>71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IF(OR(Datum_Einde_IKV="",Tabel1353678922[[#This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IF(Tabel1353678922[[#This Row],[Inkomsten-periode]]="","",DATEDIF(Geboortedatum,Tabel1353678922[[#This Row],[DatEindTv]],"Y"))</f>
        <v>27</v>
      </c>
      <c r="I2" s="146">
        <f>IF(Tabel1353678922[[#This Row],[Inkomsten-periode]]="","",IF(Datum_Aanvang_IKV="","",Datum_Aanvang_IKV))</f>
        <v>45658</v>
      </c>
      <c r="J2" s="146" t="str">
        <f>IF(Tabel1353678922[[#This Row],[Inkomsten-periode]]="","",IF(Datum_Einde_IKV="","",IF(Datum_Einde_IKV&lt;=Tabel1353678922[[#This Row],[DatEindTv]],Datum_Einde_IKV,"")))</f>
        <v/>
      </c>
      <c r="K2" s="138"/>
      <c r="L2" s="138">
        <v>15</v>
      </c>
      <c r="M2" s="138">
        <v>1</v>
      </c>
      <c r="N2" s="139">
        <v>173</v>
      </c>
      <c r="O2" s="140">
        <v>2650</v>
      </c>
      <c r="P2" s="140">
        <v>0</v>
      </c>
      <c r="Q2" s="140">
        <v>212</v>
      </c>
      <c r="R2" s="140">
        <v>0</v>
      </c>
      <c r="S2" s="140">
        <v>0</v>
      </c>
      <c r="T2" s="140">
        <v>2650</v>
      </c>
      <c r="U2" s="140"/>
      <c r="V2" s="184">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Row],[OpnAvwb]],0))))</f>
        <v>2862</v>
      </c>
      <c r="W2" s="185">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Row],[AantVerlU]],0))))</f>
        <v>173</v>
      </c>
      <c r="X2" s="184"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f>
        <v/>
      </c>
      <c r="Y2" s="185"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f>
        <v/>
      </c>
    </row>
    <row r="3" spans="1:38" s="113" customFormat="1" ht="16.399999999999999" customHeight="1" x14ac:dyDescent="0.25">
      <c r="A3" s="122" t="s">
        <v>21</v>
      </c>
      <c r="B3" s="133">
        <v>36223</v>
      </c>
      <c r="C3" s="202"/>
      <c r="D3" s="145">
        <f>IF(OR(Datum_Einde_IKV&gt;G2,Datum_Einde_IKV=""),IF(AND($B$2="Maandelijks", COUNTIF($D$1:D2, 12)=1), "",IF(OR(AND($B$2="Maandelijks", D2=12),AND($B$2="Vierwekelijks", D2=13), D2 = "Periode"), 1, D2+1)),"")</f>
        <v>2</v>
      </c>
      <c r="E3" s="145" t="str">
        <f>IF(OR(Datum_Einde_IKV="",Tabel1353678922[[#This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IF(Tabel1353678922[[#This Row],[Inkomsten-periode]]="","",DATEDIF(Geboortedatum,Tabel1353678922[[#This Row],[DatEindTv]],"Y"))</f>
        <v>27</v>
      </c>
      <c r="I3" s="146">
        <f>IF(Tabel1353678922[[#This Row],[Inkomsten-periode]]="","",IF(Datum_Aanvang_IKV="","",Datum_Aanvang_IKV))</f>
        <v>45658</v>
      </c>
      <c r="J3" s="146" t="str">
        <f>IF(Tabel1353678922[[#This Row],[Inkomsten-periode]]="","",IF(Datum_Einde_IKV="","",IF(Datum_Einde_IKV&lt;=Tabel1353678922[[#This Row],[DatEindTv]],Datum_Einde_IKV,"")))</f>
        <v/>
      </c>
      <c r="K3" s="141"/>
      <c r="L3" s="141">
        <v>15</v>
      </c>
      <c r="M3" s="141">
        <v>1</v>
      </c>
      <c r="N3" s="142">
        <v>173</v>
      </c>
      <c r="O3" s="143">
        <v>2650</v>
      </c>
      <c r="P3" s="143">
        <v>0</v>
      </c>
      <c r="Q3" s="143">
        <v>212</v>
      </c>
      <c r="R3" s="143">
        <v>0</v>
      </c>
      <c r="S3" s="143">
        <v>0</v>
      </c>
      <c r="T3" s="143">
        <v>2650</v>
      </c>
      <c r="U3" s="143"/>
      <c r="V3" s="184">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Row],[OpnAvwb]],0))))</f>
        <v>2862</v>
      </c>
      <c r="W3" s="186">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Row],[AantVerlU]],0))))</f>
        <v>173</v>
      </c>
      <c r="X3" s="184"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f>
        <v/>
      </c>
      <c r="Y3" s="186"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f>
        <v/>
      </c>
    </row>
    <row r="4" spans="1:38" s="113" customFormat="1" ht="16.399999999999999" customHeight="1" x14ac:dyDescent="0.25">
      <c r="A4" s="122" t="s">
        <v>22</v>
      </c>
      <c r="B4" s="134">
        <v>45658</v>
      </c>
      <c r="C4" s="202"/>
      <c r="D4" s="144">
        <f>IF(OR(Datum_Einde_IKV&gt;G3,Datum_Einde_IKV=""),IF(AND($B$2="Maandelijks", COUNTIF($D$1:D3, 12)=1), "",IF(OR(AND($B$2="Maandelijks", D3=12),AND($B$2="Vierwekelijks", D3=13), D3 = "Periode"), 1, D3+1)),"")</f>
        <v>3</v>
      </c>
      <c r="E4" s="145" t="str">
        <f>IF(OR(Datum_Einde_IKV="",Tabel1353678922[[#This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IF(Tabel1353678922[[#This Row],[Inkomsten-periode]]="","",DATEDIF(Geboortedatum,Tabel1353678922[[#This Row],[DatEindTv]],"Y"))</f>
        <v>28</v>
      </c>
      <c r="I4" s="146">
        <f>IF(Tabel1353678922[[#This Row],[Inkomsten-periode]]="","",IF(Datum_Aanvang_IKV="","",Datum_Aanvang_IKV))</f>
        <v>45658</v>
      </c>
      <c r="J4" s="146" t="str">
        <f>IF(Tabel1353678922[[#This Row],[Inkomsten-periode]]="","",IF(Datum_Einde_IKV="","",IF(Datum_Einde_IKV&lt;=Tabel1353678922[[#This Row],[DatEindTv]],Datum_Einde_IKV,"")))</f>
        <v/>
      </c>
      <c r="K4" s="138"/>
      <c r="L4" s="138">
        <v>15</v>
      </c>
      <c r="M4" s="138">
        <v>1</v>
      </c>
      <c r="N4" s="139">
        <v>173</v>
      </c>
      <c r="O4" s="140">
        <v>2650</v>
      </c>
      <c r="P4" s="140">
        <v>0</v>
      </c>
      <c r="Q4" s="140">
        <v>212</v>
      </c>
      <c r="R4" s="140">
        <v>0</v>
      </c>
      <c r="S4" s="140">
        <v>0</v>
      </c>
      <c r="T4" s="140">
        <v>2650</v>
      </c>
      <c r="U4" s="140"/>
      <c r="V4" s="184">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Row],[OpnAvwb]],0))))</f>
        <v>2862</v>
      </c>
      <c r="W4" s="186">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Row],[AantVerlU]],0))))</f>
        <v>173</v>
      </c>
      <c r="X4" s="184"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f>
        <v/>
      </c>
      <c r="Y4" s="186"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f>
        <v/>
      </c>
    </row>
    <row r="5" spans="1:38" s="113" customFormat="1" ht="16.399999999999999" customHeight="1" x14ac:dyDescent="0.25">
      <c r="A5" s="122" t="s">
        <v>23</v>
      </c>
      <c r="B5" s="133">
        <v>46507</v>
      </c>
      <c r="C5" s="202"/>
      <c r="D5" s="145">
        <f>IF(OR(Datum_Einde_IKV&gt;G4,Datum_Einde_IKV=""),IF(AND($B$2="Maandelijks", COUNTIF($D$1:D4, 12)=1), "",IF(OR(AND($B$2="Maandelijks", D4=12),AND($B$2="Vierwekelijks", D4=13), D4 = "Periode"), 1, D4+1)),"")</f>
        <v>4</v>
      </c>
      <c r="E5" s="145" t="str">
        <f>IF(OR(Datum_Einde_IKV="",Tabel1353678922[[#This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IF(Tabel1353678922[[#This Row],[Inkomsten-periode]]="","",DATEDIF(Geboortedatum,Tabel1353678922[[#This Row],[DatEindTv]],"Y"))</f>
        <v>28</v>
      </c>
      <c r="I5" s="146">
        <f>IF(Tabel1353678922[[#This Row],[Inkomsten-periode]]="","",IF(Datum_Aanvang_IKV="","",Datum_Aanvang_IKV))</f>
        <v>45658</v>
      </c>
      <c r="J5" s="146">
        <f>IF(Tabel1353678922[[#This Row],[Inkomsten-periode]]="","",IF(Datum_Einde_IKV="","",IF(Datum_Einde_IKV&lt;=Tabel1353678922[[#This Row],[DatEindTv]],Datum_Einde_IKV,"")))</f>
        <v>46507</v>
      </c>
      <c r="K5" s="141">
        <v>20</v>
      </c>
      <c r="L5" s="141">
        <v>15</v>
      </c>
      <c r="M5" s="141">
        <v>1</v>
      </c>
      <c r="N5" s="142">
        <v>173</v>
      </c>
      <c r="O5" s="143">
        <v>2650</v>
      </c>
      <c r="P5" s="143">
        <v>0</v>
      </c>
      <c r="Q5" s="143">
        <v>212</v>
      </c>
      <c r="R5" s="143">
        <v>0</v>
      </c>
      <c r="S5" s="143">
        <v>0</v>
      </c>
      <c r="T5" s="143">
        <v>2650</v>
      </c>
      <c r="U5" s="143"/>
      <c r="V5" s="184">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Row],[OpnAvwb]],0))))</f>
        <v>2862</v>
      </c>
      <c r="W5" s="186">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Row],[AantVerlU]],0))))</f>
        <v>173</v>
      </c>
      <c r="X5" s="184"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f>
        <v/>
      </c>
      <c r="Y5" s="186"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f>
        <v/>
      </c>
    </row>
    <row r="6" spans="1:38" s="113" customFormat="1" ht="16.399999999999999" customHeight="1" x14ac:dyDescent="0.25">
      <c r="A6" s="122" t="s">
        <v>24</v>
      </c>
      <c r="B6" s="135" t="s">
        <v>180</v>
      </c>
      <c r="C6" s="203"/>
      <c r="D6" s="144" t="str">
        <f>IF(OR(Datum_Einde_IKV&gt;G5,Datum_Einde_IKV=""),IF(AND($B$2="Maandelijks", COUNTIF($D$1:D5, 12)=1), "",IF(OR(AND($B$2="Maandelijks", D5=12),AND($B$2="Vierwekelijks", D5=13), D5 = "Periode"), 1, D5+1)),"")</f>
        <v/>
      </c>
      <c r="E6" s="145" t="str">
        <f>IF(OR(Datum_Einde_IKV="",Tabel1353678922[[#This Row],[DatAanvTv]]&lt;Datum_Einde_IKV),IF(E5="december","",IF(Verloningsperiodiciteit="maandelijks",rekenwaarden!F7,_xlfn.CONCAT("Periode ",rekenwaarden!E7))),"")</f>
        <v/>
      </c>
      <c r="F6" s="146" t="str">
        <f t="shared" si="0"/>
        <v/>
      </c>
      <c r="G6" s="146" t="str">
        <f>IF(F6="", "", IF(Verloningsperiodiciteit="Vierwekelijks", _xlfn.XLOOKUP(F6,rekenwaarden!$C$3:$C$54,rekenwaarden!$D$3:$D$54,"niet gevonden",-1), _xlfn.XLOOKUP(F6,rekenwaarden!$I$3:$I$54,rekenwaarden!$J$3:$J$54,"niet gevonden",-1)))</f>
        <v/>
      </c>
      <c r="H6" s="147" t="str">
        <f>IF(Tabel1353678922[[#This Row],[Inkomsten-periode]]="","",DATEDIF(Geboortedatum,Tabel1353678922[[#This Row],[DatEindTv]],"Y"))</f>
        <v/>
      </c>
      <c r="I6" s="146" t="str">
        <f>IF(Tabel1353678922[[#This Row],[Inkomsten-periode]]="","",IF(Datum_Aanvang_IKV="","",Datum_Aanvang_IKV))</f>
        <v/>
      </c>
      <c r="J6" s="146" t="str">
        <f>IF(Tabel1353678922[[#This Row],[Inkomsten-periode]]="","",IF(Datum_Einde_IKV="","",IF(Datum_Einde_IKV&lt;=Tabel1353678922[[#This Row],[DatEindTv]],Datum_Einde_IKV,"")))</f>
        <v/>
      </c>
      <c r="K6" s="138"/>
      <c r="L6" s="138"/>
      <c r="M6" s="138"/>
      <c r="N6" s="139"/>
      <c r="O6" s="140"/>
      <c r="P6" s="140"/>
      <c r="Q6" s="140"/>
      <c r="R6" s="140"/>
      <c r="S6" s="140"/>
      <c r="T6" s="140"/>
      <c r="U6" s="140"/>
      <c r="V6" s="184"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Row],[OpnAvwb]],0))))</f>
        <v/>
      </c>
      <c r="W6" s="186"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Row],[AantVerlU]],0))))</f>
        <v/>
      </c>
      <c r="X6" s="184"/>
      <c r="Y6" s="186"/>
    </row>
    <row r="7" spans="1:38" s="113" customFormat="1" ht="16.399999999999999" customHeight="1" x14ac:dyDescent="0.25">
      <c r="A7" s="122" t="s">
        <v>26</v>
      </c>
      <c r="B7" s="136">
        <f>VLOOKUP(B6,rekenwaarden!M8:T12,8)</f>
        <v>40</v>
      </c>
      <c r="C7" s="204"/>
      <c r="D7" s="145" t="str">
        <f>IF(OR(Datum_Einde_IKV&gt;G6,Datum_Einde_IKV=""),IF(AND($B$2="Maandelijks", COUNTIF($D$1:D6, 12)=1), "",IF(OR(AND($B$2="Maandelijks", D6=12),AND($B$2="Vierwekelijks", D6=13), D6 = "Periode"), 1, D6+1)),"")</f>
        <v/>
      </c>
      <c r="E7" s="145" t="str">
        <f>IF(OR(Datum_Einde_IKV="",Tabel1353678922[[#This Row],[DatAanvTv]]&lt;Datum_Einde_IKV),IF(E6="december","",IF(Verloningsperiodiciteit="maandelijks",rekenwaarden!F8,_xlfn.CONCAT("Periode ",rekenwaarden!E8))),"")</f>
        <v/>
      </c>
      <c r="F7" s="146" t="str">
        <f t="shared" si="0"/>
        <v/>
      </c>
      <c r="G7" s="146" t="str">
        <f>IF(F7="", "", IF(Verloningsperiodiciteit="Vierwekelijks", _xlfn.XLOOKUP(F7,rekenwaarden!$C$3:$C$54,rekenwaarden!$D$3:$D$54,"niet gevonden",-1), _xlfn.XLOOKUP(F7,rekenwaarden!$I$3:$I$54,rekenwaarden!$J$3:$J$54,"niet gevonden",-1)))</f>
        <v/>
      </c>
      <c r="H7" s="147" t="str">
        <f>IF(Tabel1353678922[[#This Row],[Inkomsten-periode]]="","",DATEDIF(Geboortedatum,Tabel1353678922[[#This Row],[DatEindTv]],"Y"))</f>
        <v/>
      </c>
      <c r="I7" s="146" t="str">
        <f>IF(Tabel1353678922[[#This Row],[Inkomsten-periode]]="","",IF(Datum_Aanvang_IKV="","",Datum_Aanvang_IKV))</f>
        <v/>
      </c>
      <c r="J7" s="146" t="str">
        <f>IF(Tabel1353678922[[#This Row],[Inkomsten-periode]]="","",IF(Datum_Einde_IKV="","",IF(Datum_Einde_IKV&lt;=Tabel1353678922[[#This Row],[DatEindTv]],Datum_Einde_IKV,"")))</f>
        <v/>
      </c>
      <c r="K7" s="141"/>
      <c r="L7" s="141"/>
      <c r="M7" s="141"/>
      <c r="N7" s="142"/>
      <c r="O7" s="143"/>
      <c r="P7" s="143"/>
      <c r="Q7" s="143"/>
      <c r="R7" s="143"/>
      <c r="S7" s="143"/>
      <c r="T7" s="143"/>
      <c r="U7" s="143"/>
      <c r="V7" s="184"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Row],[OpnAvwb]],0))))</f>
        <v/>
      </c>
      <c r="W7" s="186"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Row],[AantVerlU]],0))))</f>
        <v/>
      </c>
      <c r="X7" s="184"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f>
        <v/>
      </c>
      <c r="Y7" s="186"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f>
        <v/>
      </c>
    </row>
    <row r="8" spans="1:38" s="113" customFormat="1" ht="16.399999999999999" customHeight="1" x14ac:dyDescent="0.25">
      <c r="A8" s="122" t="s">
        <v>27</v>
      </c>
      <c r="B8" s="137" t="s">
        <v>200</v>
      </c>
      <c r="C8" s="202"/>
      <c r="D8" s="144" t="str">
        <f>IF(OR(Datum_Einde_IKV&gt;G7,Datum_Einde_IKV=""),IF(AND($B$2="Maandelijks", COUNTIF($D$1:D7, 12)=1), "",IF(OR(AND($B$2="Maandelijks", D7=12),AND($B$2="Vierwekelijks", D7=13), D7 = "Periode"), 1, D7+1)),"")</f>
        <v/>
      </c>
      <c r="E8" s="145" t="str">
        <f>IF(OR(Datum_Einde_IKV="",Tabel1353678922[[#This Row],[DatAanvTv]]&lt;Datum_Einde_IKV),IF(E7="december","",IF(Verloningsperiodiciteit="maandelijks",rekenwaarden!F9,_xlfn.CONCAT("Periode ",rekenwaarden!E9))),"")</f>
        <v/>
      </c>
      <c r="F8" s="146" t="str">
        <f t="shared" si="0"/>
        <v/>
      </c>
      <c r="G8" s="146" t="str">
        <f>IF(F8="", "", IF(Verloningsperiodiciteit="Vierwekelijks", _xlfn.XLOOKUP(F8,rekenwaarden!$C$3:$C$54,rekenwaarden!$D$3:$D$54,"niet gevonden",-1), _xlfn.XLOOKUP(F8,rekenwaarden!$I$3:$I$54,rekenwaarden!$J$3:$J$54,"niet gevonden",-1)))</f>
        <v/>
      </c>
      <c r="H8" s="147" t="str">
        <f>IF(Tabel1353678922[[#This Row],[Inkomsten-periode]]="","",DATEDIF(Geboortedatum,Tabel1353678922[[#This Row],[DatEindTv]],"Y"))</f>
        <v/>
      </c>
      <c r="I8" s="146" t="str">
        <f>IF(Tabel1353678922[[#This Row],[Inkomsten-periode]]="","",IF(Datum_Aanvang_IKV="","",Datum_Aanvang_IKV))</f>
        <v/>
      </c>
      <c r="J8" s="146" t="str">
        <f>IF(Tabel1353678922[[#This Row],[Inkomsten-periode]]="","",IF(Datum_Einde_IKV="","",IF(Datum_Einde_IKV&lt;=Tabel1353678922[[#This Row],[DatEindTv]],Datum_Einde_IKV,"")))</f>
        <v/>
      </c>
      <c r="K8" s="138"/>
      <c r="L8" s="138">
        <v>63</v>
      </c>
      <c r="M8" s="138">
        <v>1</v>
      </c>
      <c r="N8" s="139">
        <v>0</v>
      </c>
      <c r="O8" s="140">
        <v>850</v>
      </c>
      <c r="P8" s="140"/>
      <c r="Q8" s="140"/>
      <c r="R8" s="140"/>
      <c r="S8" s="140"/>
      <c r="T8" s="140"/>
      <c r="U8" s="140"/>
      <c r="V8" s="184"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Row],[OpnAvwb]],0))))</f>
        <v/>
      </c>
      <c r="W8" s="186"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Row],[AantVerlU]],0))))</f>
        <v/>
      </c>
      <c r="X8" s="184">
        <v>0</v>
      </c>
      <c r="Y8" s="186">
        <v>0</v>
      </c>
    </row>
    <row r="9" spans="1:38" s="113" customFormat="1" ht="16.399999999999999" customHeight="1" x14ac:dyDescent="0.25">
      <c r="A9" s="122"/>
      <c r="B9" s="131"/>
      <c r="C9" s="200"/>
      <c r="D9" s="145" t="str">
        <f>IF(OR(Datum_Einde_IKV&gt;G8,Datum_Einde_IKV=""),IF(AND($B$2="Maandelijks", COUNTIF($D$1:D8, 12)=1), "",IF(OR(AND($B$2="Maandelijks", D8=12),AND($B$2="Vierwekelijks", D8=13), D8 = "Periode"), 1, D8+1)),"")</f>
        <v/>
      </c>
      <c r="E9" s="145" t="str">
        <f>IF(OR(Datum_Einde_IKV="",Tabel1353678922[[#This Row],[DatAanvTv]]&lt;Datum_Einde_IKV),IF(E8="december","",IF(Verloningsperiodiciteit="maandelijks",rekenwaarden!F10,_xlfn.CONCAT("Periode ",rekenwaarden!E10))),"")</f>
        <v/>
      </c>
      <c r="F9" s="146" t="str">
        <f t="shared" si="0"/>
        <v/>
      </c>
      <c r="G9" s="146" t="str">
        <f>IF(F9="", "", IF(Verloningsperiodiciteit="Vierwekelijks", _xlfn.XLOOKUP(F9,rekenwaarden!$C$3:$C$54,rekenwaarden!$D$3:$D$54,"niet gevonden",-1), _xlfn.XLOOKUP(F9,rekenwaarden!$I$3:$I$54,rekenwaarden!$J$3:$J$54,"niet gevonden",-1)))</f>
        <v/>
      </c>
      <c r="H9" s="147" t="str">
        <f>IF(Tabel1353678922[[#This Row],[Inkomsten-periode]]="","",DATEDIF(Geboortedatum,Tabel1353678922[[#This Row],[DatEindTv]],"Y"))</f>
        <v/>
      </c>
      <c r="I9" s="146" t="str">
        <f>IF(Tabel1353678922[[#This Row],[Inkomsten-periode]]="","",IF(Datum_Aanvang_IKV="","",Datum_Aanvang_IKV))</f>
        <v/>
      </c>
      <c r="J9" s="146" t="str">
        <f>IF(Tabel1353678922[[#This Row],[Inkomsten-periode]]="","",IF(Datum_Einde_IKV="","",IF(Datum_Einde_IKV&lt;=Tabel1353678922[[#This Row],[DatEindTv]],Datum_Einde_IKV,"")))</f>
        <v/>
      </c>
      <c r="K9" s="141"/>
      <c r="L9" s="141"/>
      <c r="M9" s="141"/>
      <c r="N9" s="142"/>
      <c r="O9" s="143"/>
      <c r="P9" s="143"/>
      <c r="Q9" s="143"/>
      <c r="R9" s="143"/>
      <c r="S9" s="143"/>
      <c r="T9" s="143"/>
      <c r="U9" s="143"/>
      <c r="V9" s="184"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Row],[OpnAvwb]],0))))</f>
        <v/>
      </c>
      <c r="W9" s="186"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Row],[AantVerlU]],0))))</f>
        <v/>
      </c>
      <c r="X9" s="184"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f>
        <v/>
      </c>
      <c r="Y9" s="186"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f>
        <v/>
      </c>
    </row>
    <row r="10" spans="1:38" s="113" customFormat="1" ht="16.399999999999999" customHeight="1" thickBot="1" x14ac:dyDescent="0.3">
      <c r="A10" s="200"/>
      <c r="B10" s="200"/>
      <c r="C10" s="200"/>
      <c r="D10" s="144" t="str">
        <f>IF(OR(Datum_Einde_IKV&gt;G9,Datum_Einde_IKV=""),IF(AND($B$2="Maandelijks", COUNTIF($D$1:D9, 12)=1), "",IF(OR(AND($B$2="Maandelijks", D9=12),AND($B$2="Vierwekelijks", D9=13), D9 = "Periode"), 1, D9+1)),"")</f>
        <v/>
      </c>
      <c r="E10" s="145" t="str">
        <f>IF(OR(Datum_Einde_IKV="",Tabel1353678922[[#This Row],[DatAanvTv]]&lt;Datum_Einde_IKV),IF(E9="december","",IF(Verloningsperiodiciteit="maandelijks",rekenwaarden!F11,_xlfn.CONCAT("Periode ",rekenwaarden!E11))),"")</f>
        <v/>
      </c>
      <c r="F10" s="146" t="str">
        <f t="shared" si="0"/>
        <v/>
      </c>
      <c r="G10" s="146" t="str">
        <f>IF(F10="", "", IF(Verloningsperiodiciteit="Vierwekelijks", _xlfn.XLOOKUP(F10,rekenwaarden!$C$3:$C$54,rekenwaarden!$D$3:$D$54,"niet gevonden",-1), _xlfn.XLOOKUP(F10,rekenwaarden!$I$3:$I$54,rekenwaarden!$J$3:$J$54,"niet gevonden",-1)))</f>
        <v/>
      </c>
      <c r="H10" s="147" t="str">
        <f>IF(Tabel1353678922[[#This Row],[Inkomsten-periode]]="","",DATEDIF(Geboortedatum,Tabel1353678922[[#This Row],[DatEindTv]],"Y"))</f>
        <v/>
      </c>
      <c r="I10" s="146" t="str">
        <f>IF(Tabel1353678922[[#This Row],[Inkomsten-periode]]="","",IF(Datum_Aanvang_IKV="","",Datum_Aanvang_IKV))</f>
        <v/>
      </c>
      <c r="J10" s="146" t="str">
        <f>IF(Tabel1353678922[[#This Row],[Inkomsten-periode]]="","",IF(Datum_Einde_IKV="","",IF(Datum_Einde_IKV&lt;=Tabel1353678922[[#This Row],[DatEindTv]],Datum_Einde_IKV,"")))</f>
        <v/>
      </c>
      <c r="K10" s="138"/>
      <c r="L10" s="138"/>
      <c r="M10" s="138"/>
      <c r="N10" s="139"/>
      <c r="O10" s="140"/>
      <c r="P10" s="140"/>
      <c r="Q10" s="140"/>
      <c r="R10" s="140"/>
      <c r="S10" s="140"/>
      <c r="T10" s="140"/>
      <c r="U10" s="140"/>
      <c r="V10" s="184"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Row],[OpnAvwb]],0))))</f>
        <v/>
      </c>
      <c r="W10" s="186"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Row],[AantVerlU]],0))))</f>
        <v/>
      </c>
      <c r="X10" s="184"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f>
        <v/>
      </c>
      <c r="Y10" s="186"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f>
        <v/>
      </c>
    </row>
    <row r="11" spans="1:38" s="113" customFormat="1" ht="16.399999999999999" customHeight="1" x14ac:dyDescent="0.25">
      <c r="A11" s="245" t="s">
        <v>65</v>
      </c>
      <c r="B11" s="246"/>
      <c r="C11" s="200"/>
      <c r="D11" s="145" t="str">
        <f>IF(OR(Datum_Einde_IKV&gt;G10,Datum_Einde_IKV=""),IF(AND($B$2="Maandelijks", COUNTIF($D$1:D10, 12)=1), "",IF(OR(AND($B$2="Maandelijks", D10=12),AND($B$2="Vierwekelijks", D10=13), D10 = "Periode"), 1, D10+1)),"")</f>
        <v/>
      </c>
      <c r="E11" s="145" t="str">
        <f>IF(OR(Datum_Einde_IKV="",Tabel1353678922[[#This Row],[DatAanvTv]]&lt;Datum_Einde_IKV),IF(E10="december","",IF(Verloningsperiodiciteit="maandelijks",rekenwaarden!F12,_xlfn.CONCAT("Periode ",rekenwaarden!E12))),"")</f>
        <v/>
      </c>
      <c r="F11" s="146" t="str">
        <f t="shared" si="0"/>
        <v/>
      </c>
      <c r="G11" s="146" t="str">
        <f>IF(F11="", "", IF(Verloningsperiodiciteit="Vierwekelijks", _xlfn.XLOOKUP(F11,rekenwaarden!$C$3:$C$54,rekenwaarden!$D$3:$D$54,"niet gevonden",-1), _xlfn.XLOOKUP(F11,rekenwaarden!$I$3:$I$54,rekenwaarden!$J$3:$J$54,"niet gevonden",-1)))</f>
        <v/>
      </c>
      <c r="H11" s="147" t="str">
        <f>IF(Tabel1353678922[[#This Row],[Inkomsten-periode]]="","",DATEDIF(Geboortedatum,Tabel1353678922[[#This Row],[DatEindTv]],"Y"))</f>
        <v/>
      </c>
      <c r="I11" s="146" t="str">
        <f>IF(Tabel1353678922[[#This Row],[Inkomsten-periode]]="","",IF(Datum_Aanvang_IKV="","",Datum_Aanvang_IKV))</f>
        <v/>
      </c>
      <c r="J11" s="146" t="str">
        <f>IF(Tabel1353678922[[#This Row],[Inkomsten-periode]]="","",IF(Datum_Einde_IKV="","",IF(Datum_Einde_IKV&lt;=Tabel1353678922[[#This Row],[DatEindTv]],Datum_Einde_IKV,"")))</f>
        <v/>
      </c>
      <c r="K11" s="141"/>
      <c r="L11" s="141"/>
      <c r="M11" s="141"/>
      <c r="N11" s="142"/>
      <c r="O11" s="143"/>
      <c r="P11" s="143"/>
      <c r="Q11" s="143"/>
      <c r="R11" s="143"/>
      <c r="S11" s="143"/>
      <c r="T11" s="143"/>
      <c r="U11" s="143"/>
      <c r="V11" s="184"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Row],[OpnAvwb]],0))))</f>
        <v/>
      </c>
      <c r="W11" s="186"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Row],[AantVerlU]],0))))</f>
        <v/>
      </c>
      <c r="X11" s="184"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f>
        <v/>
      </c>
      <c r="Y11" s="186"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f>
        <v/>
      </c>
    </row>
    <row r="12" spans="1:38" s="113" customFormat="1" ht="16.399999999999999" customHeight="1" x14ac:dyDescent="0.25">
      <c r="A12" s="249" t="s">
        <v>203</v>
      </c>
      <c r="B12" s="250"/>
      <c r="C12" s="200"/>
      <c r="D12" s="144" t="str">
        <f>IF(OR(Datum_Einde_IKV&gt;G11,Datum_Einde_IKV=""),IF(AND($B$2="Maandelijks", COUNTIF($D$1:D11, 12)=1), "",IF(OR(AND($B$2="Maandelijks", D11=12),AND($B$2="Vierwekelijks", D11=13), D11 = "Periode"), 1, D11+1)),"")</f>
        <v/>
      </c>
      <c r="E12" s="145" t="str">
        <f>IF(OR(Datum_Einde_IKV="",Tabel1353678922[[#This Row],[DatAanvTv]]&lt;Datum_Einde_IKV),IF(E11="december","",IF(Verloningsperiodiciteit="maandelijks",rekenwaarden!F13,_xlfn.CONCAT("Periode ",rekenwaarden!E13))),"")</f>
        <v/>
      </c>
      <c r="F12" s="146" t="str">
        <f t="shared" si="0"/>
        <v/>
      </c>
      <c r="G12" s="146" t="str">
        <f>IF(F12="", "", IF(Verloningsperiodiciteit="Vierwekelijks", _xlfn.XLOOKUP(F12,rekenwaarden!$C$3:$C$54,rekenwaarden!$D$3:$D$54,"niet gevonden",-1), _xlfn.XLOOKUP(F12,rekenwaarden!$I$3:$I$54,rekenwaarden!$J$3:$J$54,"niet gevonden",-1)))</f>
        <v/>
      </c>
      <c r="H12" s="147" t="str">
        <f>IF(Tabel1353678922[[#This Row],[Inkomsten-periode]]="","",DATEDIF(Geboortedatum,Tabel1353678922[[#This Row],[DatEindTv]],"Y"))</f>
        <v/>
      </c>
      <c r="I12" s="146" t="str">
        <f>IF(Tabel1353678922[[#This Row],[Inkomsten-periode]]="","",IF(Datum_Aanvang_IKV="","",Datum_Aanvang_IKV))</f>
        <v/>
      </c>
      <c r="J12" s="146" t="str">
        <f>IF(Tabel1353678922[[#This Row],[Inkomsten-periode]]="","",IF(Datum_Einde_IKV="","",IF(Datum_Einde_IKV&lt;=Tabel1353678922[[#This Row],[DatEindTv]],Datum_Einde_IKV,"")))</f>
        <v/>
      </c>
      <c r="K12" s="138"/>
      <c r="L12" s="138"/>
      <c r="M12" s="138"/>
      <c r="N12" s="139"/>
      <c r="O12" s="140"/>
      <c r="P12" s="140"/>
      <c r="Q12" s="140"/>
      <c r="R12" s="140"/>
      <c r="S12" s="140"/>
      <c r="T12" s="140"/>
      <c r="U12" s="140"/>
      <c r="V12" s="184"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Row],[OpnAvwb]],0))))</f>
        <v/>
      </c>
      <c r="W12" s="186"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Row],[AantVerlU]],0))))</f>
        <v/>
      </c>
      <c r="X12" s="184"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f>
        <v/>
      </c>
      <c r="Y12" s="186"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f>
        <v/>
      </c>
    </row>
    <row r="13" spans="1:38" s="113" customFormat="1" ht="16.399999999999999" customHeight="1" x14ac:dyDescent="0.25">
      <c r="A13" s="249"/>
      <c r="B13" s="250"/>
      <c r="C13" s="200"/>
      <c r="D13" s="145" t="str">
        <f>IF(OR(Datum_Einde_IKV&gt;G12,Datum_Einde_IKV=""),IF(AND($B$2="Maandelijks", COUNTIF($D$1:D12, 12)=1), "",IF(OR(AND($B$2="Maandelijks", D12=12),AND($B$2="Vierwekelijks", D12=13), D12 = "Periode"), 1, D12+1)),"")</f>
        <v/>
      </c>
      <c r="E13" s="145" t="str">
        <f>IF(OR(Datum_Einde_IKV="",Tabel1353678922[[#This Row],[DatAanvTv]]&lt;Datum_Einde_IKV),IF(E12="december","",IF(Verloningsperiodiciteit="maandelijks",rekenwaarden!F14,_xlfn.CONCAT("Periode ",rekenwaarden!E14))),"")</f>
        <v/>
      </c>
      <c r="F13" s="146" t="str">
        <f t="shared" si="0"/>
        <v/>
      </c>
      <c r="G13" s="146" t="str">
        <f>IF(F13="", "", IF(Verloningsperiodiciteit="Vierwekelijks", _xlfn.XLOOKUP(F13,rekenwaarden!$C$3:$C$54,rekenwaarden!$D$3:$D$54,"niet gevonden",-1), _xlfn.XLOOKUP(F13,rekenwaarden!$I$3:$I$54,rekenwaarden!$J$3:$J$54,"niet gevonden",-1)))</f>
        <v/>
      </c>
      <c r="H13" s="147" t="str">
        <f>IF(Tabel1353678922[[#This Row],[Inkomsten-periode]]="","",DATEDIF(Geboortedatum,Tabel1353678922[[#This Row],[DatEindTv]],"Y"))</f>
        <v/>
      </c>
      <c r="I13" s="146" t="str">
        <f>IF(Tabel1353678922[[#This Row],[Inkomsten-periode]]="","",IF(Datum_Aanvang_IKV="","",Datum_Aanvang_IKV))</f>
        <v/>
      </c>
      <c r="J13" s="146" t="str">
        <f>IF(Tabel1353678922[[#This Row],[Inkomsten-periode]]="","",IF(Datum_Einde_IKV="","",IF(Datum_Einde_IKV&lt;=Tabel1353678922[[#This Row],[DatEindTv]],Datum_Einde_IKV,"")))</f>
        <v/>
      </c>
      <c r="K13" s="141"/>
      <c r="L13" s="141"/>
      <c r="M13" s="141"/>
      <c r="N13" s="142"/>
      <c r="O13" s="143"/>
      <c r="P13" s="143"/>
      <c r="Q13" s="143"/>
      <c r="R13" s="143"/>
      <c r="S13" s="143"/>
      <c r="T13" s="143"/>
      <c r="U13" s="143"/>
      <c r="V13" s="184"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Row],[OpnAvwb]],0))))</f>
        <v/>
      </c>
      <c r="W13" s="186"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Row],[AantVerlU]],0))))</f>
        <v/>
      </c>
      <c r="X13" s="184"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f>
        <v/>
      </c>
      <c r="Y13" s="186"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f>
        <v/>
      </c>
    </row>
    <row r="14" spans="1:38" s="113" customFormat="1" ht="16.399999999999999" customHeight="1" x14ac:dyDescent="0.25">
      <c r="A14" s="249"/>
      <c r="B14" s="250"/>
      <c r="C14" s="200"/>
      <c r="D14" s="144" t="str">
        <f>IF(OR(Datum_Einde_IKV&gt;G13,Datum_Einde_IKV=""),IF(AND($B$2="Maandelijks", COUNTIF($D$1:D13, 12)=1), "",IF(OR(AND($B$2="Maandelijks", D13=12),AND($B$2="Vierwekelijks", D13=13), D13 = "Periode"), 1, D13+1)),"")</f>
        <v/>
      </c>
      <c r="E14" s="145" t="str">
        <f>IF(OR(Datum_Einde_IKV="",Tabel1353678922[[#This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IF(Tabel1353678922[[#This Row],[Inkomsten-periode]]="","",DATEDIF(Geboortedatum,Tabel1353678922[[#This Row],[DatEindTv]],"Y"))</f>
        <v/>
      </c>
      <c r="I14" s="146" t="str">
        <f>IF(Tabel1353678922[[#This Row],[Inkomsten-periode]]="","",IF(Datum_Aanvang_IKV="","",Datum_Aanvang_IKV))</f>
        <v/>
      </c>
      <c r="J14" s="146" t="str">
        <f>IF(Tabel1353678922[[#This Row],[Inkomsten-periode]]="","",IF(Datum_Einde_IKV="","",IF(Datum_Einde_IKV&lt;=Tabel1353678922[[#This Row],[DatEindTv]],Datum_Einde_IKV,"")))</f>
        <v/>
      </c>
      <c r="K14" s="138"/>
      <c r="L14" s="138"/>
      <c r="M14" s="138"/>
      <c r="N14" s="139"/>
      <c r="O14" s="140"/>
      <c r="P14" s="140"/>
      <c r="Q14" s="140"/>
      <c r="R14" s="140"/>
      <c r="S14" s="140"/>
      <c r="T14" s="140"/>
      <c r="U14" s="140"/>
      <c r="V14" s="184"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Row],[OpnAvwb]],0))))</f>
        <v/>
      </c>
      <c r="W14" s="187" t="str">
        <f>IF(Tabel1353678922[[#This Row],[Inkomsten-periode]]="","",IF(OR(Tabel1353678922[[#This Row],[Leeftijd]]&lt;18,Tabel1353678922[[#This Row],[Leeftijd]]&gt;=68),0,IF(Tabel1353678922[[#This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Row],[AantVerlU]],0))))</f>
        <v/>
      </c>
      <c r="X14" s="184"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Row],[LnInGld]]+Tabel1353678922[[#This Row],[OpgRchtVakBsl]]-Tabel1353678922[[#This Row],[VakBsl]]+Tabel1353678922[[#This Row],[OpbAvwb]]-Tabel1353678922[[#This Row],[OpnAvwb]],"")),"")</f>
        <v/>
      </c>
      <c r="Y14" s="187" t="str">
        <f>IF(Tabel1353678922[[#This Row],[Inkomsten-periode]]="",IF(Tabel1353678922[[#This Row],[CdRdnEindArbov]]=33,0,IF(AND(OR(Tabel1353678922[[#This Row],[SrtIV]]=13,Tabel1353678922[[#This Row],[SrtIV]]=15,Tabel1353678922[[#This Row],[SrtIV]]=31),OR(Tabel1353678922[[#This Row],[CdAard]]=1,Tabel1353678922[[#This Row],[CdAard]]=11,Tabel1353678922[[#This Row],[CdAard]]=82,Tabel1353678922[[#This Row],[CdAard]]=83)),Tabel1353678922[[#This Row],[AantVerlU]],"")),"")</f>
        <v/>
      </c>
    </row>
    <row r="15" spans="1:38" ht="16.399999999999999" customHeight="1" thickBot="1" x14ac:dyDescent="0.3">
      <c r="A15" s="249"/>
      <c r="B15" s="250"/>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6.399999999999999" customHeight="1" x14ac:dyDescent="0.35">
      <c r="A16" s="249"/>
      <c r="B16" s="250"/>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249"/>
      <c r="B17" s="250"/>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249"/>
      <c r="B18" s="250"/>
      <c r="C18" s="200"/>
      <c r="D18" s="163">
        <f>D2</f>
        <v>1</v>
      </c>
      <c r="E18" s="150" t="str">
        <f>E2</f>
        <v>januari</v>
      </c>
      <c r="F18" s="151">
        <f>F2</f>
        <v>46388</v>
      </c>
      <c r="G18" s="151">
        <f>G2</f>
        <v>46418</v>
      </c>
      <c r="H18" s="188">
        <f t="shared" ref="H18:H30" si="1">IF(AND(W2="",Y2=""),"",MAX(W2,Y2))</f>
        <v>173</v>
      </c>
      <c r="I18" s="191">
        <f t="shared" ref="I18:I30" si="2">IF(AND(V2="",X2=""),"",MAX(V2,X2))</f>
        <v>2862</v>
      </c>
      <c r="J18" s="188">
        <f>IF($E18="","",IF($E19="",SUM(H18:H$30),H18))</f>
        <v>173</v>
      </c>
      <c r="K18" s="191">
        <f>IF($E18="","",IF($E19="",SUM(I18:I$30),I18))</f>
        <v>2862</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2862</v>
      </c>
      <c r="T18" s="157">
        <f t="shared" ref="T18:T30" si="10">IF(M18="","",J18+IF(AND(D18&lt;&gt;1, T17&lt;&gt;""),T17,0))</f>
        <v>173</v>
      </c>
      <c r="U18" s="157">
        <f t="shared" ref="U18:U30" si="11">IF(M18="","",R18+IF(AND(D18&lt;&gt;1, U17&lt;&gt;""),U17,0))</f>
        <v>173.33333333333334</v>
      </c>
      <c r="V18" s="158">
        <f>IF(M18="",0,T18/U18)</f>
        <v>0.99807692307692297</v>
      </c>
      <c r="W18" s="159">
        <f>IF(M18="","",VLOOKUP($B$6,rekenwaarden!M$8:N$12,2))</f>
        <v>9.4499999999999993</v>
      </c>
      <c r="X18" s="160">
        <f t="shared" ref="X18:X30" si="12">IF(M18="","",W18*J18)</f>
        <v>1634.85</v>
      </c>
      <c r="Y18" s="160">
        <f t="shared" ref="Y18:Y30" si="13">IF(M18="","",X18+IF(AND(D18&lt;&gt;1, Y17&lt;&gt;""),Y17,0))</f>
        <v>1634.85</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1227.1500000000001</v>
      </c>
      <c r="AE18" s="160">
        <f t="shared" ref="AE18:AE30" si="17">IF(M18="","",AD18-IF(AND(D18&lt;&gt;1, AD17&lt;&gt;""),AD17,0))</f>
        <v>1227.1500000000001</v>
      </c>
      <c r="AF18" s="160">
        <f>IF(OR($B$8="ONWAAR", M18=""), "", MAX(MIN(S18, AC18*MIN(1, V18))-AA18*MIN(1, V18), 0))</f>
        <v>0</v>
      </c>
      <c r="AG18" s="160">
        <f t="shared" ref="AG18:AG30" si="18">IF(OR(M18="", AF18=""),"",AF18-IF(AND(D18&lt;&gt;1, AF17&lt;&gt;""),AF17,0))</f>
        <v>0</v>
      </c>
      <c r="AH18" s="161">
        <f t="shared" ref="AH18:AH30" ca="1" si="19">IF($M18="", "", AE18*INDIRECT(CONCATENATE("premiepct", YEAR(F18))))</f>
        <v>364.46355</v>
      </c>
      <c r="AI18" s="161">
        <f ca="1">IF(OR($F$4=FALSE, M18=""), "", AG18*INDIRECT(CONCATENATE("premiepct", YEAR($F18))))</f>
        <v>0</v>
      </c>
      <c r="AJ18" s="161"/>
      <c r="AK18" s="161"/>
      <c r="AL18" s="164">
        <f ca="1">IF(M18="","",SUM(AH18:AK18))</f>
        <v>364.46355</v>
      </c>
    </row>
    <row r="19" spans="1:38" s="113" customFormat="1" ht="15.65" customHeight="1" x14ac:dyDescent="0.25">
      <c r="A19" s="249"/>
      <c r="B19" s="250"/>
      <c r="C19" s="200"/>
      <c r="D19" s="163">
        <f t="shared" ref="D19:G30" si="20">D3</f>
        <v>2</v>
      </c>
      <c r="E19" s="150" t="str">
        <f t="shared" si="20"/>
        <v>februari</v>
      </c>
      <c r="F19" s="151">
        <f t="shared" si="20"/>
        <v>46419</v>
      </c>
      <c r="G19" s="151">
        <f t="shared" si="20"/>
        <v>46446</v>
      </c>
      <c r="H19" s="189">
        <f t="shared" si="1"/>
        <v>173</v>
      </c>
      <c r="I19" s="192">
        <f t="shared" si="2"/>
        <v>2862</v>
      </c>
      <c r="J19" s="189">
        <f>IF($E19="","",IF($E20="",SUM(H19:H$30),H19))</f>
        <v>173</v>
      </c>
      <c r="K19" s="192">
        <f>IF($E19="","",IF($E20="",SUM(I19:I$30),I19))</f>
        <v>2862</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5724</v>
      </c>
      <c r="T19" s="157">
        <f t="shared" si="10"/>
        <v>346</v>
      </c>
      <c r="U19" s="157">
        <f t="shared" si="11"/>
        <v>346.66666666666669</v>
      </c>
      <c r="V19" s="158">
        <f t="shared" ref="V19:V30" si="22">IF(M19="","",T19/U19)</f>
        <v>0.99807692307692297</v>
      </c>
      <c r="W19" s="159">
        <f>IF(M19="","",VLOOKUP($B$6,rekenwaarden!M$8:N$12,2))</f>
        <v>9.4499999999999993</v>
      </c>
      <c r="X19" s="160">
        <f t="shared" si="12"/>
        <v>1634.85</v>
      </c>
      <c r="Y19" s="160">
        <f t="shared" si="13"/>
        <v>3269.7</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2454.3000000000002</v>
      </c>
      <c r="AE19" s="160">
        <f t="shared" si="17"/>
        <v>1227.1500000000001</v>
      </c>
      <c r="AF19" s="160">
        <f t="shared" ref="AF19:AF30" si="23">IF(OR($B$8="ONWAAR", M19=""), "", MAX(MIN(S19, AC19*MIN(1, V19))-AA19*MIN(1, V19), 0))</f>
        <v>0</v>
      </c>
      <c r="AG19" s="160">
        <f t="shared" si="18"/>
        <v>0</v>
      </c>
      <c r="AH19" s="161">
        <f t="shared" ca="1" si="19"/>
        <v>364.46355</v>
      </c>
      <c r="AI19" s="161">
        <f t="shared" ref="AI19:AI30" ca="1" si="24">IF(OR($F$4=FALSE, M19=""), "", AG19*INDIRECT(CONCATENATE("premiepct", YEAR($F19))))</f>
        <v>0</v>
      </c>
      <c r="AJ19" s="161"/>
      <c r="AK19" s="161"/>
      <c r="AL19" s="164">
        <f t="shared" ref="AL19:AL30" ca="1" si="25">IF(M19="","",SUM(AH19:AK19))</f>
        <v>364.46355</v>
      </c>
    </row>
    <row r="20" spans="1:38" s="113" customFormat="1" ht="15.65" customHeight="1" x14ac:dyDescent="0.25">
      <c r="A20" s="249"/>
      <c r="B20" s="250"/>
      <c r="C20" s="200"/>
      <c r="D20" s="163">
        <f t="shared" si="20"/>
        <v>3</v>
      </c>
      <c r="E20" s="150" t="str">
        <f t="shared" si="20"/>
        <v>maart</v>
      </c>
      <c r="F20" s="151">
        <f t="shared" si="20"/>
        <v>46447</v>
      </c>
      <c r="G20" s="151">
        <f t="shared" si="20"/>
        <v>46477</v>
      </c>
      <c r="H20" s="188">
        <f t="shared" si="1"/>
        <v>173</v>
      </c>
      <c r="I20" s="191">
        <f t="shared" si="2"/>
        <v>2862</v>
      </c>
      <c r="J20" s="188">
        <f>IF($E20="","",IF($E21="",SUM(H20:H$30),H20))</f>
        <v>173</v>
      </c>
      <c r="K20" s="191">
        <f>IF($E20="","",IF($E21="",SUM(I20:I$30),I20))</f>
        <v>2862</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8586</v>
      </c>
      <c r="T20" s="157">
        <f t="shared" si="10"/>
        <v>519</v>
      </c>
      <c r="U20" s="157">
        <f t="shared" si="11"/>
        <v>520</v>
      </c>
      <c r="V20" s="158">
        <f t="shared" si="22"/>
        <v>0.99807692307692308</v>
      </c>
      <c r="W20" s="159">
        <f>IF(M20="","",VLOOKUP($B$6,rekenwaarden!M$8:N$12,2))</f>
        <v>9.4499999999999993</v>
      </c>
      <c r="X20" s="160">
        <f t="shared" si="12"/>
        <v>1634.85</v>
      </c>
      <c r="Y20" s="160">
        <f t="shared" si="13"/>
        <v>4904.5499999999993</v>
      </c>
      <c r="Z20" s="160">
        <f>IF(M20="","", VLOOKUP(B$6,rekenwaarden!M$8:T$12,3)*Q20)</f>
        <v>6617.4166666666661</v>
      </c>
      <c r="AA20" s="160">
        <f t="shared" si="14"/>
        <v>19852.25</v>
      </c>
      <c r="AB20" s="160">
        <f>IF(M20="","", VLOOKUP($B$6,rekenwaarden!M$8:T$12,4)*Q20)</f>
        <v>11483.333333333332</v>
      </c>
      <c r="AC20" s="160">
        <f t="shared" si="15"/>
        <v>34450</v>
      </c>
      <c r="AD20" s="160">
        <f t="shared" si="16"/>
        <v>3681.4500000000007</v>
      </c>
      <c r="AE20" s="160">
        <f t="shared" si="17"/>
        <v>1227.1500000000005</v>
      </c>
      <c r="AF20" s="160">
        <f t="shared" si="23"/>
        <v>0</v>
      </c>
      <c r="AG20" s="160">
        <f t="shared" si="18"/>
        <v>0</v>
      </c>
      <c r="AH20" s="161">
        <f t="shared" ca="1" si="19"/>
        <v>364.46355000000017</v>
      </c>
      <c r="AI20" s="161">
        <f t="shared" ca="1" si="24"/>
        <v>0</v>
      </c>
      <c r="AJ20" s="161"/>
      <c r="AK20" s="161"/>
      <c r="AL20" s="164">
        <f t="shared" ca="1" si="25"/>
        <v>364.46355000000017</v>
      </c>
    </row>
    <row r="21" spans="1:38" s="113" customFormat="1" ht="15.65" customHeight="1" x14ac:dyDescent="0.25">
      <c r="A21" s="249"/>
      <c r="B21" s="250"/>
      <c r="C21" s="200"/>
      <c r="D21" s="163">
        <f t="shared" si="20"/>
        <v>4</v>
      </c>
      <c r="E21" s="150" t="str">
        <f t="shared" si="20"/>
        <v>april</v>
      </c>
      <c r="F21" s="151">
        <f t="shared" si="20"/>
        <v>46478</v>
      </c>
      <c r="G21" s="151">
        <f t="shared" si="20"/>
        <v>46507</v>
      </c>
      <c r="H21" s="189">
        <f t="shared" si="1"/>
        <v>173</v>
      </c>
      <c r="I21" s="192">
        <f t="shared" si="2"/>
        <v>2862</v>
      </c>
      <c r="J21" s="189">
        <f>IF($E21="","",IF($E22="",SUM(H21:H$30),H21))</f>
        <v>173</v>
      </c>
      <c r="K21" s="192">
        <f>IF($E21="","",IF($E22="",SUM(I21:I$30),I21))</f>
        <v>2862</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11448</v>
      </c>
      <c r="T21" s="157">
        <f t="shared" si="10"/>
        <v>692</v>
      </c>
      <c r="U21" s="157">
        <f t="shared" si="11"/>
        <v>693.33333333333337</v>
      </c>
      <c r="V21" s="158">
        <f t="shared" si="22"/>
        <v>0.99807692307692297</v>
      </c>
      <c r="W21" s="159">
        <f>IF(M21="","",VLOOKUP($B$6,rekenwaarden!M$8:N$12,2))</f>
        <v>9.4499999999999993</v>
      </c>
      <c r="X21" s="160">
        <f t="shared" si="12"/>
        <v>1634.85</v>
      </c>
      <c r="Y21" s="160">
        <f t="shared" si="13"/>
        <v>6539.4</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4908.6000000000004</v>
      </c>
      <c r="AE21" s="160">
        <f t="shared" si="17"/>
        <v>1227.1499999999996</v>
      </c>
      <c r="AF21" s="160">
        <f t="shared" si="23"/>
        <v>0</v>
      </c>
      <c r="AG21" s="160">
        <f t="shared" si="18"/>
        <v>0</v>
      </c>
      <c r="AH21" s="161">
        <f t="shared" ca="1" si="19"/>
        <v>364.46354999999988</v>
      </c>
      <c r="AI21" s="161">
        <f t="shared" ca="1" si="24"/>
        <v>0</v>
      </c>
      <c r="AJ21" s="161"/>
      <c r="AK21" s="161"/>
      <c r="AL21" s="164">
        <f t="shared" ca="1" si="25"/>
        <v>364.46354999999988</v>
      </c>
    </row>
    <row r="22" spans="1:38" s="113" customFormat="1" ht="15.65" customHeight="1" x14ac:dyDescent="0.25">
      <c r="A22" s="249"/>
      <c r="B22" s="250"/>
      <c r="C22" s="200"/>
      <c r="D22" s="163" t="str">
        <f t="shared" si="20"/>
        <v/>
      </c>
      <c r="E22" s="150" t="str">
        <f t="shared" si="20"/>
        <v/>
      </c>
      <c r="F22" s="151" t="str">
        <f t="shared" si="20"/>
        <v/>
      </c>
      <c r="G22" s="151" t="str">
        <f t="shared" si="20"/>
        <v/>
      </c>
      <c r="H22" s="188" t="str">
        <f t="shared" si="1"/>
        <v/>
      </c>
      <c r="I22" s="191" t="str">
        <f t="shared" si="2"/>
        <v/>
      </c>
      <c r="J22" s="188" t="str">
        <f>IF($E22="","",IF($E23="",SUM(H22:H$30),H22))</f>
        <v/>
      </c>
      <c r="K22" s="191" t="str">
        <f>IF($E22="","",IF($E23="",SUM(I22:I$30),I22))</f>
        <v/>
      </c>
      <c r="L22" s="152" t="str">
        <f t="shared" si="3"/>
        <v/>
      </c>
      <c r="M22" s="151" t="str">
        <f t="shared" si="4"/>
        <v/>
      </c>
      <c r="N22" s="151" t="str">
        <f t="shared" si="5"/>
        <v/>
      </c>
      <c r="O22" s="150" t="str">
        <f t="shared" si="21"/>
        <v/>
      </c>
      <c r="P22" s="153" t="str">
        <f t="shared" si="6"/>
        <v/>
      </c>
      <c r="Q22" s="154" t="str">
        <f t="shared" si="7"/>
        <v/>
      </c>
      <c r="R22" s="155" t="str">
        <f t="shared" si="8"/>
        <v/>
      </c>
      <c r="S22" s="156" t="str">
        <f t="shared" si="9"/>
        <v/>
      </c>
      <c r="T22" s="157" t="str">
        <f t="shared" si="10"/>
        <v/>
      </c>
      <c r="U22" s="157" t="str">
        <f t="shared" si="11"/>
        <v/>
      </c>
      <c r="V22" s="158" t="str">
        <f t="shared" si="22"/>
        <v/>
      </c>
      <c r="W22" s="159" t="str">
        <f>IF(M22="","",VLOOKUP($B$6,rekenwaarden!M$8:N$12,2))</f>
        <v/>
      </c>
      <c r="X22" s="160" t="str">
        <f t="shared" si="12"/>
        <v/>
      </c>
      <c r="Y22" s="160" t="str">
        <f t="shared" si="13"/>
        <v/>
      </c>
      <c r="Z22" s="160" t="str">
        <f>IF(M22="","", VLOOKUP(B$6,rekenwaarden!M$8:T$12,3)*Q22)</f>
        <v/>
      </c>
      <c r="AA22" s="160" t="str">
        <f t="shared" si="14"/>
        <v/>
      </c>
      <c r="AB22" s="160" t="str">
        <f>IF(M22="","", VLOOKUP($B$6,rekenwaarden!M$8:T$12,4)*Q22)</f>
        <v/>
      </c>
      <c r="AC22" s="160" t="str">
        <f t="shared" si="15"/>
        <v/>
      </c>
      <c r="AD22" s="160" t="str">
        <f t="shared" si="16"/>
        <v/>
      </c>
      <c r="AE22" s="160" t="str">
        <f t="shared" si="17"/>
        <v/>
      </c>
      <c r="AF22" s="160" t="str">
        <f t="shared" si="23"/>
        <v/>
      </c>
      <c r="AG22" s="160" t="str">
        <f t="shared" si="18"/>
        <v/>
      </c>
      <c r="AH22" s="161" t="str">
        <f t="shared" ca="1" si="19"/>
        <v/>
      </c>
      <c r="AI22" s="161" t="str">
        <f t="shared" ca="1" si="24"/>
        <v/>
      </c>
      <c r="AJ22" s="161"/>
      <c r="AK22" s="161"/>
      <c r="AL22" s="164" t="str">
        <f t="shared" si="25"/>
        <v/>
      </c>
    </row>
    <row r="23" spans="1:38" s="113" customFormat="1" ht="15.65" customHeight="1" x14ac:dyDescent="0.25">
      <c r="A23" s="249"/>
      <c r="B23" s="250"/>
      <c r="C23" s="200"/>
      <c r="D23" s="163" t="str">
        <f t="shared" si="20"/>
        <v/>
      </c>
      <c r="E23" s="150" t="str">
        <f t="shared" si="20"/>
        <v/>
      </c>
      <c r="F23" s="151" t="str">
        <f t="shared" si="20"/>
        <v/>
      </c>
      <c r="G23" s="151" t="str">
        <f t="shared" si="20"/>
        <v/>
      </c>
      <c r="H23" s="189" t="str">
        <f t="shared" si="1"/>
        <v/>
      </c>
      <c r="I23" s="192" t="str">
        <f t="shared" si="2"/>
        <v/>
      </c>
      <c r="J23" s="189" t="str">
        <f>IF($E23="","",IF($E24="",SUM(H23:H$30),H23))</f>
        <v/>
      </c>
      <c r="K23" s="192" t="str">
        <f>IF($E23="","",IF($E24="",SUM(I23:I$30),I23))</f>
        <v/>
      </c>
      <c r="L23" s="152" t="str">
        <f t="shared" si="3"/>
        <v/>
      </c>
      <c r="M23" s="151" t="str">
        <f t="shared" si="4"/>
        <v/>
      </c>
      <c r="N23" s="151" t="str">
        <f t="shared" si="5"/>
        <v/>
      </c>
      <c r="O23" s="150" t="str">
        <f t="shared" si="21"/>
        <v/>
      </c>
      <c r="P23" s="153" t="str">
        <f t="shared" si="6"/>
        <v/>
      </c>
      <c r="Q23" s="154" t="str">
        <f t="shared" si="7"/>
        <v/>
      </c>
      <c r="R23" s="155" t="str">
        <f t="shared" si="8"/>
        <v/>
      </c>
      <c r="S23" s="156" t="str">
        <f t="shared" si="9"/>
        <v/>
      </c>
      <c r="T23" s="157" t="str">
        <f t="shared" si="10"/>
        <v/>
      </c>
      <c r="U23" s="157" t="str">
        <f t="shared" si="11"/>
        <v/>
      </c>
      <c r="V23" s="158" t="str">
        <f t="shared" si="22"/>
        <v/>
      </c>
      <c r="W23" s="159" t="str">
        <f>IF(M23="","",VLOOKUP($B$6,rekenwaarden!M$8:N$12,2))</f>
        <v/>
      </c>
      <c r="X23" s="160" t="str">
        <f t="shared" si="12"/>
        <v/>
      </c>
      <c r="Y23" s="160" t="str">
        <f t="shared" si="13"/>
        <v/>
      </c>
      <c r="Z23" s="160" t="str">
        <f>IF(M23="","", VLOOKUP(B$6,rekenwaarden!M$8:T$12,3)*Q23)</f>
        <v/>
      </c>
      <c r="AA23" s="160" t="str">
        <f t="shared" si="14"/>
        <v/>
      </c>
      <c r="AB23" s="160" t="str">
        <f>IF(M23="","", VLOOKUP($B$6,rekenwaarden!M$8:T$12,4)*Q23)</f>
        <v/>
      </c>
      <c r="AC23" s="160" t="str">
        <f t="shared" si="15"/>
        <v/>
      </c>
      <c r="AD23" s="160" t="str">
        <f t="shared" si="16"/>
        <v/>
      </c>
      <c r="AE23" s="160" t="str">
        <f t="shared" si="17"/>
        <v/>
      </c>
      <c r="AF23" s="160" t="str">
        <f t="shared" si="23"/>
        <v/>
      </c>
      <c r="AG23" s="160" t="str">
        <f t="shared" si="18"/>
        <v/>
      </c>
      <c r="AH23" s="161" t="str">
        <f t="shared" ca="1" si="19"/>
        <v/>
      </c>
      <c r="AI23" s="161" t="str">
        <f t="shared" ca="1" si="24"/>
        <v/>
      </c>
      <c r="AJ23" s="161"/>
      <c r="AK23" s="161"/>
      <c r="AL23" s="164" t="str">
        <f t="shared" si="25"/>
        <v/>
      </c>
    </row>
    <row r="24" spans="1:38" s="113" customFormat="1" ht="15.65" customHeight="1" x14ac:dyDescent="0.25">
      <c r="A24" s="249"/>
      <c r="B24" s="250"/>
      <c r="C24" s="200"/>
      <c r="D24" s="163" t="str">
        <f t="shared" si="20"/>
        <v/>
      </c>
      <c r="E24" s="150" t="str">
        <f t="shared" si="20"/>
        <v/>
      </c>
      <c r="F24" s="151" t="str">
        <f t="shared" si="20"/>
        <v/>
      </c>
      <c r="G24" s="151" t="str">
        <f t="shared" si="20"/>
        <v/>
      </c>
      <c r="H24" s="188">
        <f t="shared" si="1"/>
        <v>0</v>
      </c>
      <c r="I24" s="191">
        <f t="shared" si="2"/>
        <v>0</v>
      </c>
      <c r="J24" s="188" t="str">
        <f>IF($E24="","",IF($E25="",SUM(H24:H$30),H24))</f>
        <v/>
      </c>
      <c r="K24" s="191" t="str">
        <f>IF($E24="","",IF($E25="",SUM(I24:I$30),I24))</f>
        <v/>
      </c>
      <c r="L24" s="152" t="str">
        <f t="shared" si="3"/>
        <v/>
      </c>
      <c r="M24" s="151" t="str">
        <f t="shared" si="4"/>
        <v/>
      </c>
      <c r="N24" s="151" t="str">
        <f t="shared" si="5"/>
        <v/>
      </c>
      <c r="O24" s="150" t="str">
        <f t="shared" si="21"/>
        <v/>
      </c>
      <c r="P24" s="153" t="str">
        <f t="shared" si="6"/>
        <v/>
      </c>
      <c r="Q24" s="154" t="str">
        <f t="shared" si="7"/>
        <v/>
      </c>
      <c r="R24" s="155" t="str">
        <f t="shared" si="8"/>
        <v/>
      </c>
      <c r="S24" s="156" t="str">
        <f t="shared" si="9"/>
        <v/>
      </c>
      <c r="T24" s="157" t="str">
        <f t="shared" si="10"/>
        <v/>
      </c>
      <c r="U24" s="157" t="str">
        <f t="shared" si="11"/>
        <v/>
      </c>
      <c r="V24" s="158" t="str">
        <f t="shared" si="22"/>
        <v/>
      </c>
      <c r="W24" s="159" t="str">
        <f>IF(M24="","",VLOOKUP($B$6,rekenwaarden!M$8:N$12,2))</f>
        <v/>
      </c>
      <c r="X24" s="160" t="str">
        <f t="shared" si="12"/>
        <v/>
      </c>
      <c r="Y24" s="160" t="str">
        <f t="shared" si="13"/>
        <v/>
      </c>
      <c r="Z24" s="160" t="str">
        <f>IF(M24="","", VLOOKUP(B$6,rekenwaarden!M$8:T$12,3)*Q24)</f>
        <v/>
      </c>
      <c r="AA24" s="160" t="str">
        <f t="shared" si="14"/>
        <v/>
      </c>
      <c r="AB24" s="160" t="str">
        <f>IF(M24="","", VLOOKUP($B$6,rekenwaarden!M$8:T$12,4)*Q24)</f>
        <v/>
      </c>
      <c r="AC24" s="160" t="str">
        <f t="shared" si="15"/>
        <v/>
      </c>
      <c r="AD24" s="160" t="str">
        <f t="shared" si="16"/>
        <v/>
      </c>
      <c r="AE24" s="160" t="str">
        <f t="shared" si="17"/>
        <v/>
      </c>
      <c r="AF24" s="160" t="str">
        <f t="shared" si="23"/>
        <v/>
      </c>
      <c r="AG24" s="160" t="str">
        <f t="shared" si="18"/>
        <v/>
      </c>
      <c r="AH24" s="161" t="str">
        <f t="shared" ca="1" si="19"/>
        <v/>
      </c>
      <c r="AI24" s="161" t="str">
        <f t="shared" ca="1" si="24"/>
        <v/>
      </c>
      <c r="AJ24" s="161"/>
      <c r="AK24" s="161"/>
      <c r="AL24" s="164" t="str">
        <f t="shared" si="25"/>
        <v/>
      </c>
    </row>
    <row r="25" spans="1:38" s="113" customFormat="1" ht="15.65" customHeight="1" x14ac:dyDescent="0.25">
      <c r="A25" s="249"/>
      <c r="B25" s="250"/>
      <c r="C25" s="200"/>
      <c r="D25" s="163" t="str">
        <f t="shared" si="20"/>
        <v/>
      </c>
      <c r="E25" s="150" t="str">
        <f t="shared" si="20"/>
        <v/>
      </c>
      <c r="F25" s="151" t="str">
        <f t="shared" si="20"/>
        <v/>
      </c>
      <c r="G25" s="151" t="str">
        <f t="shared" si="20"/>
        <v/>
      </c>
      <c r="H25" s="189" t="str">
        <f t="shared" si="1"/>
        <v/>
      </c>
      <c r="I25" s="192" t="str">
        <f t="shared" si="2"/>
        <v/>
      </c>
      <c r="J25" s="189" t="str">
        <f>IF($E25="","",IF($E26="",SUM(H25:H$30),H25))</f>
        <v/>
      </c>
      <c r="K25" s="192" t="str">
        <f>IF($E25="","",IF($E26="",SUM(I25:I$30),I25))</f>
        <v/>
      </c>
      <c r="L25" s="152" t="str">
        <f t="shared" si="3"/>
        <v/>
      </c>
      <c r="M25" s="151" t="str">
        <f t="shared" si="4"/>
        <v/>
      </c>
      <c r="N25" s="151" t="str">
        <f t="shared" si="5"/>
        <v/>
      </c>
      <c r="O25" s="150" t="str">
        <f t="shared" si="21"/>
        <v/>
      </c>
      <c r="P25" s="153" t="str">
        <f t="shared" si="6"/>
        <v/>
      </c>
      <c r="Q25" s="154" t="str">
        <f t="shared" si="7"/>
        <v/>
      </c>
      <c r="R25" s="155" t="str">
        <f t="shared" si="8"/>
        <v/>
      </c>
      <c r="S25" s="156" t="str">
        <f t="shared" si="9"/>
        <v/>
      </c>
      <c r="T25" s="157" t="str">
        <f t="shared" si="10"/>
        <v/>
      </c>
      <c r="U25" s="157" t="str">
        <f t="shared" si="11"/>
        <v/>
      </c>
      <c r="V25" s="158" t="str">
        <f t="shared" si="22"/>
        <v/>
      </c>
      <c r="W25" s="159" t="str">
        <f>IF(M25="","",VLOOKUP($B$6,rekenwaarden!M$8:N$12,2))</f>
        <v/>
      </c>
      <c r="X25" s="160" t="str">
        <f t="shared" si="12"/>
        <v/>
      </c>
      <c r="Y25" s="160" t="str">
        <f t="shared" si="13"/>
        <v/>
      </c>
      <c r="Z25" s="160" t="str">
        <f>IF(M25="","", VLOOKUP(B$6,rekenwaarden!M$8:T$12,3)*Q25)</f>
        <v/>
      </c>
      <c r="AA25" s="160" t="str">
        <f t="shared" si="14"/>
        <v/>
      </c>
      <c r="AB25" s="160" t="str">
        <f>IF(M25="","", VLOOKUP($B$6,rekenwaarden!M$8:T$12,4)*Q25)</f>
        <v/>
      </c>
      <c r="AC25" s="160" t="str">
        <f t="shared" si="15"/>
        <v/>
      </c>
      <c r="AD25" s="160" t="str">
        <f t="shared" si="16"/>
        <v/>
      </c>
      <c r="AE25" s="160" t="str">
        <f t="shared" si="17"/>
        <v/>
      </c>
      <c r="AF25" s="160" t="str">
        <f t="shared" si="23"/>
        <v/>
      </c>
      <c r="AG25" s="160" t="str">
        <f t="shared" si="18"/>
        <v/>
      </c>
      <c r="AH25" s="161" t="str">
        <f t="shared" ca="1" si="19"/>
        <v/>
      </c>
      <c r="AI25" s="161" t="str">
        <f t="shared" ca="1" si="24"/>
        <v/>
      </c>
      <c r="AJ25" s="161"/>
      <c r="AK25" s="161"/>
      <c r="AL25" s="164" t="str">
        <f t="shared" si="25"/>
        <v/>
      </c>
    </row>
    <row r="26" spans="1:38" s="113" customFormat="1" ht="15.65" customHeight="1" x14ac:dyDescent="0.25">
      <c r="A26" s="125"/>
      <c r="B26" s="126"/>
      <c r="C26" s="200"/>
      <c r="D26" s="163" t="str">
        <f t="shared" si="20"/>
        <v/>
      </c>
      <c r="E26" s="150" t="str">
        <f t="shared" si="20"/>
        <v/>
      </c>
      <c r="F26" s="151" t="str">
        <f t="shared" si="20"/>
        <v/>
      </c>
      <c r="G26" s="151" t="str">
        <f t="shared" si="20"/>
        <v/>
      </c>
      <c r="H26" s="188" t="str">
        <f t="shared" si="1"/>
        <v/>
      </c>
      <c r="I26" s="191" t="str">
        <f t="shared" si="2"/>
        <v/>
      </c>
      <c r="J26" s="188" t="str">
        <f>IF($E26="","",IF($E27="",SUM(H26:H$30),H26))</f>
        <v/>
      </c>
      <c r="K26" s="191" t="str">
        <f>IF($E26="","",IF($E27="",SUM(I26:I$30),I26))</f>
        <v/>
      </c>
      <c r="L26" s="152" t="str">
        <f t="shared" si="3"/>
        <v/>
      </c>
      <c r="M26" s="151" t="str">
        <f t="shared" si="4"/>
        <v/>
      </c>
      <c r="N26" s="151" t="str">
        <f t="shared" si="5"/>
        <v/>
      </c>
      <c r="O26" s="150" t="str">
        <f t="shared" si="21"/>
        <v/>
      </c>
      <c r="P26" s="153" t="str">
        <f t="shared" si="6"/>
        <v/>
      </c>
      <c r="Q26" s="154" t="str">
        <f t="shared" si="7"/>
        <v/>
      </c>
      <c r="R26" s="155" t="str">
        <f t="shared" si="8"/>
        <v/>
      </c>
      <c r="S26" s="156" t="str">
        <f t="shared" si="9"/>
        <v/>
      </c>
      <c r="T26" s="157" t="str">
        <f t="shared" si="10"/>
        <v/>
      </c>
      <c r="U26" s="157" t="str">
        <f t="shared" si="11"/>
        <v/>
      </c>
      <c r="V26" s="158" t="str">
        <f t="shared" si="22"/>
        <v/>
      </c>
      <c r="W26" s="159" t="str">
        <f>IF(M26="","",VLOOKUP($B$6,rekenwaarden!M$8:N$12,2))</f>
        <v/>
      </c>
      <c r="X26" s="160" t="str">
        <f t="shared" si="12"/>
        <v/>
      </c>
      <c r="Y26" s="160" t="str">
        <f t="shared" si="13"/>
        <v/>
      </c>
      <c r="Z26" s="160" t="str">
        <f>IF(M26="","", VLOOKUP(B$6,rekenwaarden!M$8:T$12,3)*Q26)</f>
        <v/>
      </c>
      <c r="AA26" s="160" t="str">
        <f t="shared" si="14"/>
        <v/>
      </c>
      <c r="AB26" s="160" t="str">
        <f>IF(M26="","", VLOOKUP($B$6,rekenwaarden!M$8:T$12,4)*Q26)</f>
        <v/>
      </c>
      <c r="AC26" s="160" t="str">
        <f t="shared" si="15"/>
        <v/>
      </c>
      <c r="AD26" s="160" t="str">
        <f t="shared" si="16"/>
        <v/>
      </c>
      <c r="AE26" s="160" t="str">
        <f t="shared" si="17"/>
        <v/>
      </c>
      <c r="AF26" s="160" t="str">
        <f t="shared" si="23"/>
        <v/>
      </c>
      <c r="AG26" s="160" t="str">
        <f t="shared" si="18"/>
        <v/>
      </c>
      <c r="AH26" s="161" t="str">
        <f t="shared" ca="1" si="19"/>
        <v/>
      </c>
      <c r="AI26" s="161" t="str">
        <f t="shared" ca="1" si="24"/>
        <v/>
      </c>
      <c r="AJ26" s="161"/>
      <c r="AK26" s="161"/>
      <c r="AL26" s="164" t="str">
        <f t="shared" si="25"/>
        <v/>
      </c>
    </row>
    <row r="27" spans="1:38" s="113" customFormat="1" ht="15.65" customHeight="1" x14ac:dyDescent="0.25">
      <c r="A27" s="125"/>
      <c r="B27" s="126"/>
      <c r="C27" s="200"/>
      <c r="D27" s="163" t="str">
        <f t="shared" si="20"/>
        <v/>
      </c>
      <c r="E27" s="150" t="str">
        <f t="shared" si="20"/>
        <v/>
      </c>
      <c r="F27" s="151" t="str">
        <f t="shared" si="20"/>
        <v/>
      </c>
      <c r="G27" s="151" t="str">
        <f t="shared" si="20"/>
        <v/>
      </c>
      <c r="H27" s="189" t="str">
        <f t="shared" si="1"/>
        <v/>
      </c>
      <c r="I27" s="192" t="str">
        <f t="shared" si="2"/>
        <v/>
      </c>
      <c r="J27" s="189" t="str">
        <f>IF($E27="","",IF($E28="",SUM(H27:H$30),H27))</f>
        <v/>
      </c>
      <c r="K27" s="192" t="str">
        <f>IF($E27="","",IF($E28="",SUM(I27:I$30),I27))</f>
        <v/>
      </c>
      <c r="L27" s="152" t="str">
        <f t="shared" si="3"/>
        <v/>
      </c>
      <c r="M27" s="151" t="str">
        <f t="shared" si="4"/>
        <v/>
      </c>
      <c r="N27" s="151" t="str">
        <f t="shared" si="5"/>
        <v/>
      </c>
      <c r="O27" s="150" t="str">
        <f t="shared" si="21"/>
        <v/>
      </c>
      <c r="P27" s="153" t="str">
        <f t="shared" si="6"/>
        <v/>
      </c>
      <c r="Q27" s="154" t="str">
        <f t="shared" si="7"/>
        <v/>
      </c>
      <c r="R27" s="155" t="str">
        <f t="shared" si="8"/>
        <v/>
      </c>
      <c r="S27" s="156" t="str">
        <f t="shared" si="9"/>
        <v/>
      </c>
      <c r="T27" s="157" t="str">
        <f t="shared" si="10"/>
        <v/>
      </c>
      <c r="U27" s="157" t="str">
        <f t="shared" si="11"/>
        <v/>
      </c>
      <c r="V27" s="158" t="str">
        <f t="shared" si="22"/>
        <v/>
      </c>
      <c r="W27" s="159" t="str">
        <f>IF(M27="","",VLOOKUP($B$6,rekenwaarden!M$8:N$12,2))</f>
        <v/>
      </c>
      <c r="X27" s="160" t="str">
        <f t="shared" si="12"/>
        <v/>
      </c>
      <c r="Y27" s="160" t="str">
        <f t="shared" si="13"/>
        <v/>
      </c>
      <c r="Z27" s="160" t="str">
        <f>IF(M27="","", VLOOKUP(B$6,rekenwaarden!M$8:T$12,3)*Q27)</f>
        <v/>
      </c>
      <c r="AA27" s="160" t="str">
        <f t="shared" si="14"/>
        <v/>
      </c>
      <c r="AB27" s="160" t="str">
        <f>IF(M27="","", VLOOKUP($B$6,rekenwaarden!M$8:T$12,4)*Q27)</f>
        <v/>
      </c>
      <c r="AC27" s="160" t="str">
        <f t="shared" si="15"/>
        <v/>
      </c>
      <c r="AD27" s="160" t="str">
        <f t="shared" si="16"/>
        <v/>
      </c>
      <c r="AE27" s="160" t="str">
        <f t="shared" si="17"/>
        <v/>
      </c>
      <c r="AF27" s="160" t="str">
        <f t="shared" si="23"/>
        <v/>
      </c>
      <c r="AG27" s="160" t="str">
        <f t="shared" si="18"/>
        <v/>
      </c>
      <c r="AH27" s="161" t="str">
        <f t="shared" ca="1" si="19"/>
        <v/>
      </c>
      <c r="AI27" s="161" t="str">
        <f t="shared" ca="1" si="24"/>
        <v/>
      </c>
      <c r="AJ27" s="161"/>
      <c r="AK27" s="161"/>
      <c r="AL27" s="164" t="str">
        <f t="shared" si="25"/>
        <v/>
      </c>
    </row>
    <row r="28" spans="1:38" s="113" customFormat="1" ht="15.65" customHeight="1" x14ac:dyDescent="0.25">
      <c r="A28" s="125"/>
      <c r="B28" s="126"/>
      <c r="C28" s="200"/>
      <c r="D28" s="163" t="str">
        <f t="shared" si="20"/>
        <v/>
      </c>
      <c r="E28" s="150" t="str">
        <f t="shared" si="20"/>
        <v/>
      </c>
      <c r="F28" s="151" t="str">
        <f t="shared" si="20"/>
        <v/>
      </c>
      <c r="G28" s="151" t="str">
        <f t="shared" si="20"/>
        <v/>
      </c>
      <c r="H28" s="188" t="str">
        <f t="shared" si="1"/>
        <v/>
      </c>
      <c r="I28" s="191" t="str">
        <f t="shared" si="2"/>
        <v/>
      </c>
      <c r="J28" s="188" t="str">
        <f>IF($E28="","",IF($E29="",SUM(H28:H$30),H28))</f>
        <v/>
      </c>
      <c r="K28" s="191" t="str">
        <f>IF($E28="","",IF($E29="",SUM(I28:I$30),I28))</f>
        <v/>
      </c>
      <c r="L28" s="152" t="str">
        <f t="shared" si="3"/>
        <v/>
      </c>
      <c r="M28" s="151" t="str">
        <f t="shared" si="4"/>
        <v/>
      </c>
      <c r="N28" s="151" t="str">
        <f t="shared" si="5"/>
        <v/>
      </c>
      <c r="O28" s="150" t="str">
        <f t="shared" si="21"/>
        <v/>
      </c>
      <c r="P28" s="153" t="str">
        <f t="shared" si="6"/>
        <v/>
      </c>
      <c r="Q28" s="154" t="str">
        <f t="shared" si="7"/>
        <v/>
      </c>
      <c r="R28" s="155" t="str">
        <f t="shared" si="8"/>
        <v/>
      </c>
      <c r="S28" s="156" t="str">
        <f t="shared" si="9"/>
        <v/>
      </c>
      <c r="T28" s="157" t="str">
        <f t="shared" si="10"/>
        <v/>
      </c>
      <c r="U28" s="157" t="str">
        <f t="shared" si="11"/>
        <v/>
      </c>
      <c r="V28" s="158" t="str">
        <f t="shared" si="22"/>
        <v/>
      </c>
      <c r="W28" s="159" t="str">
        <f>IF(M28="","",VLOOKUP($B$6,rekenwaarden!M$8:N$12,2))</f>
        <v/>
      </c>
      <c r="X28" s="160" t="str">
        <f t="shared" si="12"/>
        <v/>
      </c>
      <c r="Y28" s="160" t="str">
        <f t="shared" si="13"/>
        <v/>
      </c>
      <c r="Z28" s="160" t="str">
        <f>IF(M28="","", VLOOKUP(B$6,rekenwaarden!M$8:T$12,3)*Q28)</f>
        <v/>
      </c>
      <c r="AA28" s="160" t="str">
        <f t="shared" si="14"/>
        <v/>
      </c>
      <c r="AB28" s="160" t="str">
        <f>IF(M28="","", VLOOKUP($B$6,rekenwaarden!M$8:T$12,4)*Q28)</f>
        <v/>
      </c>
      <c r="AC28" s="160" t="str">
        <f t="shared" si="15"/>
        <v/>
      </c>
      <c r="AD28" s="160" t="str">
        <f t="shared" si="16"/>
        <v/>
      </c>
      <c r="AE28" s="160" t="str">
        <f t="shared" si="17"/>
        <v/>
      </c>
      <c r="AF28" s="160" t="str">
        <f t="shared" si="23"/>
        <v/>
      </c>
      <c r="AG28" s="160" t="str">
        <f t="shared" si="18"/>
        <v/>
      </c>
      <c r="AH28" s="161" t="str">
        <f t="shared" ca="1" si="19"/>
        <v/>
      </c>
      <c r="AI28" s="161" t="str">
        <f t="shared" ca="1" si="24"/>
        <v/>
      </c>
      <c r="AJ28" s="161"/>
      <c r="AK28" s="161"/>
      <c r="AL28" s="164" t="str">
        <f t="shared" si="25"/>
        <v/>
      </c>
    </row>
    <row r="29" spans="1:38" s="113" customFormat="1" ht="15.65" customHeight="1" x14ac:dyDescent="0.25">
      <c r="A29" s="125"/>
      <c r="B29" s="126"/>
      <c r="C29" s="200"/>
      <c r="D29" s="163" t="str">
        <f t="shared" si="20"/>
        <v/>
      </c>
      <c r="E29" s="150" t="str">
        <f t="shared" si="20"/>
        <v/>
      </c>
      <c r="F29" s="151" t="str">
        <f t="shared" si="20"/>
        <v/>
      </c>
      <c r="G29" s="151" t="str">
        <f t="shared" si="20"/>
        <v/>
      </c>
      <c r="H29" s="189" t="str">
        <f t="shared" si="1"/>
        <v/>
      </c>
      <c r="I29" s="192" t="str">
        <f t="shared" si="2"/>
        <v/>
      </c>
      <c r="J29" s="189" t="str">
        <f>IF($E29="","",IF($E30="",SUM(H29:H$30),H29))</f>
        <v/>
      </c>
      <c r="K29" s="192" t="str">
        <f>IF($E29="","",IF($E30="",SUM(I29:I$30),I29))</f>
        <v/>
      </c>
      <c r="L29" s="152" t="str">
        <f t="shared" si="3"/>
        <v/>
      </c>
      <c r="M29" s="151" t="str">
        <f t="shared" si="4"/>
        <v/>
      </c>
      <c r="N29" s="151" t="str">
        <f t="shared" si="5"/>
        <v/>
      </c>
      <c r="O29" s="150" t="str">
        <f t="shared" si="21"/>
        <v/>
      </c>
      <c r="P29" s="153" t="str">
        <f t="shared" si="6"/>
        <v/>
      </c>
      <c r="Q29" s="154" t="str">
        <f t="shared" si="7"/>
        <v/>
      </c>
      <c r="R29" s="155" t="str">
        <f t="shared" si="8"/>
        <v/>
      </c>
      <c r="S29" s="156" t="str">
        <f t="shared" si="9"/>
        <v/>
      </c>
      <c r="T29" s="157" t="str">
        <f t="shared" si="10"/>
        <v/>
      </c>
      <c r="U29" s="157" t="str">
        <f t="shared" si="11"/>
        <v/>
      </c>
      <c r="V29" s="158" t="str">
        <f t="shared" si="22"/>
        <v/>
      </c>
      <c r="W29" s="159" t="str">
        <f>IF(M29="","",VLOOKUP($B$6,rekenwaarden!M$8:N$12,2))</f>
        <v/>
      </c>
      <c r="X29" s="160" t="str">
        <f t="shared" si="12"/>
        <v/>
      </c>
      <c r="Y29" s="160" t="str">
        <f t="shared" si="13"/>
        <v/>
      </c>
      <c r="Z29" s="160" t="str">
        <f>IF(M29="","", VLOOKUP(B$6,rekenwaarden!M$8:T$12,3)*Q29)</f>
        <v/>
      </c>
      <c r="AA29" s="160" t="str">
        <f t="shared" si="14"/>
        <v/>
      </c>
      <c r="AB29" s="160" t="str">
        <f>IF(M29="","", VLOOKUP($B$6,rekenwaarden!M$8:T$12,4)*Q29)</f>
        <v/>
      </c>
      <c r="AC29" s="160" t="str">
        <f t="shared" si="15"/>
        <v/>
      </c>
      <c r="AD29" s="160" t="str">
        <f t="shared" si="16"/>
        <v/>
      </c>
      <c r="AE29" s="160" t="str">
        <f t="shared" si="17"/>
        <v/>
      </c>
      <c r="AF29" s="160" t="str">
        <f t="shared" si="23"/>
        <v/>
      </c>
      <c r="AG29" s="160" t="str">
        <f t="shared" si="18"/>
        <v/>
      </c>
      <c r="AH29" s="161" t="str">
        <f t="shared" ca="1" si="19"/>
        <v/>
      </c>
      <c r="AI29" s="161" t="str">
        <f t="shared" ca="1" si="24"/>
        <v/>
      </c>
      <c r="AJ29" s="161"/>
      <c r="AK29" s="161"/>
      <c r="AL29" s="164" t="str">
        <f t="shared" si="25"/>
        <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sheetData>
  <sheetProtection algorithmName="SHA-512" hashValue="Qf51saW6pNya0a48gS1yFicNB+xqwMO5jP2xSCicnh1Zw2Yrr2rHU1d0VfACw0WsRhhhN+3lYOTfPMYZfHNO5g==" saltValue="FCrNPtm0fn++1dvHmUYznw==" spinCount="100000" sheet="1" objects="1" scenarios="1"/>
  <protectedRanges>
    <protectedRange sqref="K2:U14" name="Loonaangiftebericht"/>
    <protectedRange sqref="B1:B9" name="Persoon en IKV"/>
  </protectedRanges>
  <mergeCells count="3">
    <mergeCell ref="A11:B11"/>
    <mergeCell ref="A12:B25"/>
    <mergeCell ref="D17:E17"/>
  </mergeCells>
  <dataValidations count="8">
    <dataValidation type="whole" allowBlank="1" showInputMessage="1" showErrorMessage="1" promptTitle="Handboek Loonheffingen: " prompt="Rekenkundig afgeronde hele uren" sqref="N2:N14" xr:uid="{42965696-FB6A-4C4F-AD5B-7F5A2F281548}">
      <formula1>-999</formula1>
      <formula2>999</formula2>
    </dataValidation>
    <dataValidation type="list" allowBlank="1" showInputMessage="1" showErrorMessage="1" sqref="K2:K14" xr:uid="{EAA40D0F-4430-423C-8DD6-06B610FCC3D7}">
      <formula1>Code_Reden_Einde_Arbeidsverhouding</formula1>
    </dataValidation>
    <dataValidation type="list" allowBlank="1" showInputMessage="1" showErrorMessage="1" sqref="M2:M14" xr:uid="{FFCB5D74-F5D0-475E-B732-26F1CE292681}">
      <formula1>Code_Aard_Arbeidsverhouding</formula1>
    </dataValidation>
    <dataValidation type="list" allowBlank="1" showInputMessage="1" showErrorMessage="1" sqref="L2:L14" xr:uid="{C45705D6-A4E3-4220-ABCC-74C244D17CC4}">
      <formula1>Code_Soort_IKV</formula1>
    </dataValidation>
    <dataValidation type="list" allowBlank="1" showInputMessage="1" showErrorMessage="1" sqref="C2" xr:uid="{BEAF5B32-FA5F-4C28-A7D8-3DCF5D1766C2}">
      <formula1>"maandelijks,vierwekelijks"</formula1>
    </dataValidation>
    <dataValidation type="list" allowBlank="1" showInputMessage="1" showErrorMessage="1" sqref="B1:C1" xr:uid="{C41727A0-03A0-4665-BADD-B6F2D998669B}">
      <formula1>"2027,2028"</formula1>
    </dataValidation>
    <dataValidation type="list" allowBlank="1" showInputMessage="1" showErrorMessage="1" sqref="B8:C8" xr:uid="{C072BC2C-B131-4A98-8B63-F80B66BEF0E9}">
      <formula1>"WAAR,NIET WAAR"</formula1>
    </dataValidation>
    <dataValidation type="list" allowBlank="1" showInputMessage="1" showErrorMessage="1" sqref="B2" xr:uid="{97616DF2-7B29-462E-A779-DBB4F71935E7}">
      <formula1>"Maandelijks,Vierwekelijks"</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577406E4-BDA0-43DC-8AAC-041EF280AADD}">
          <x14:formula1>
            <xm:f>rekenwaarden!$M$8:$M$12</xm:f>
          </x14:formula1>
          <xm:sqref>B6:C6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BA3AC-8946-4D3E-AC3F-CA8207028413}">
  <sheetPr>
    <tabColor theme="3"/>
  </sheetPr>
  <dimension ref="A1:AE94"/>
  <sheetViews>
    <sheetView workbookViewId="0">
      <selection activeCell="F20" sqref="F20"/>
    </sheetView>
  </sheetViews>
  <sheetFormatPr defaultColWidth="8.81640625" defaultRowHeight="14.5" x14ac:dyDescent="0.35"/>
  <cols>
    <col min="1" max="1" width="8.81640625" style="16" customWidth="1"/>
    <col min="2" max="2" width="10.1796875" style="16" customWidth="1"/>
    <col min="3" max="3" width="13.81640625" style="16" customWidth="1"/>
    <col min="4" max="5" width="10.1796875" style="16" customWidth="1"/>
    <col min="6" max="6" width="16.81640625" style="16" customWidth="1"/>
    <col min="7" max="8" width="8.81640625" style="16" customWidth="1"/>
    <col min="9" max="9" width="10.453125" style="16" customWidth="1"/>
    <col min="10" max="10" width="10.1796875" style="16" customWidth="1"/>
    <col min="11" max="11" width="8.81640625" style="16"/>
    <col min="12" max="12" width="12.81640625" style="16" customWidth="1"/>
    <col min="13" max="13" width="18.1796875" style="16" bestFit="1" customWidth="1"/>
    <col min="14" max="20" width="12.81640625" style="16" customWidth="1"/>
    <col min="21" max="16384" width="8.81640625" style="16"/>
  </cols>
  <sheetData>
    <row r="1" spans="1:31" x14ac:dyDescent="0.35">
      <c r="A1" s="15" t="s">
        <v>204</v>
      </c>
      <c r="E1" s="15" t="s">
        <v>1</v>
      </c>
      <c r="G1" s="15" t="s">
        <v>205</v>
      </c>
    </row>
    <row r="2" spans="1:31" x14ac:dyDescent="0.35">
      <c r="A2" s="115" t="s">
        <v>206</v>
      </c>
      <c r="B2" s="115" t="s">
        <v>1</v>
      </c>
      <c r="C2" s="116" t="s">
        <v>207</v>
      </c>
      <c r="D2" s="117" t="s">
        <v>208</v>
      </c>
      <c r="E2" s="19"/>
      <c r="I2" s="17" t="s">
        <v>209</v>
      </c>
      <c r="J2" s="18" t="s">
        <v>210</v>
      </c>
      <c r="K2" s="20"/>
      <c r="L2" s="20" t="s">
        <v>211</v>
      </c>
      <c r="M2" s="21" t="s">
        <v>212</v>
      </c>
      <c r="N2" s="22" t="s">
        <v>213</v>
      </c>
      <c r="O2" s="22" t="s">
        <v>214</v>
      </c>
      <c r="P2" s="23" t="s">
        <v>215</v>
      </c>
      <c r="R2" s="213" t="s">
        <v>81</v>
      </c>
      <c r="AC2" s="16" t="s">
        <v>216</v>
      </c>
      <c r="AD2" s="16" t="s">
        <v>217</v>
      </c>
      <c r="AE2" s="16" t="s">
        <v>218</v>
      </c>
    </row>
    <row r="3" spans="1:31" x14ac:dyDescent="0.35">
      <c r="A3" s="24">
        <v>2027</v>
      </c>
      <c r="B3" s="25">
        <v>1</v>
      </c>
      <c r="C3" s="26">
        <f t="shared" ref="C3:C29" si="0">IF(B3=1,DATE(A3,B3,1),C2 + 28 + IF(B3=2, 4 - WEEKDAY(C2,15), 0))</f>
        <v>46388</v>
      </c>
      <c r="D3" s="118">
        <f t="shared" ref="D3:D27" si="1">C4-1</f>
        <v>46418</v>
      </c>
      <c r="E3" s="28">
        <v>1</v>
      </c>
      <c r="F3" s="16" t="s">
        <v>219</v>
      </c>
      <c r="G3" s="24">
        <f t="shared" ref="G3:G14" si="2">A3</f>
        <v>2027</v>
      </c>
      <c r="H3" s="25">
        <v>1</v>
      </c>
      <c r="I3" s="29">
        <f>DATE(G3, 1, 1)</f>
        <v>46388</v>
      </c>
      <c r="J3" s="27">
        <f>DATE(YEAR(I3), MONTH(I3)+1, 1-1)</f>
        <v>46418</v>
      </c>
      <c r="K3" s="28"/>
      <c r="L3" s="30">
        <f>G3</f>
        <v>2027</v>
      </c>
      <c r="M3" s="31">
        <v>12000</v>
      </c>
      <c r="N3" s="32">
        <v>79409</v>
      </c>
      <c r="O3" s="32">
        <v>120000</v>
      </c>
      <c r="P3" s="33">
        <v>0.29699999999999999</v>
      </c>
      <c r="R3" s="213" t="s">
        <v>96</v>
      </c>
      <c r="AC3" s="16">
        <v>11</v>
      </c>
      <c r="AD3" s="16">
        <v>1</v>
      </c>
      <c r="AE3" s="16">
        <v>1</v>
      </c>
    </row>
    <row r="4" spans="1:31" x14ac:dyDescent="0.35">
      <c r="A4" s="24">
        <v>2027</v>
      </c>
      <c r="B4" s="16">
        <v>2</v>
      </c>
      <c r="C4" s="26">
        <f t="shared" si="0"/>
        <v>46419</v>
      </c>
      <c r="D4" s="36">
        <f t="shared" si="1"/>
        <v>46446</v>
      </c>
      <c r="E4" s="28">
        <v>2</v>
      </c>
      <c r="F4" s="36" t="s">
        <v>220</v>
      </c>
      <c r="G4" s="24">
        <f t="shared" si="2"/>
        <v>2027</v>
      </c>
      <c r="H4" s="16">
        <v>2</v>
      </c>
      <c r="I4" s="26">
        <f>J3+1</f>
        <v>46419</v>
      </c>
      <c r="J4" s="35">
        <f t="shared" ref="J4:J14" si="3">DATE(YEAR(I4), MONTH(I4)+1, 1-1)</f>
        <v>46446</v>
      </c>
      <c r="K4" s="28"/>
      <c r="L4" s="37">
        <f>G15</f>
        <v>2028</v>
      </c>
      <c r="M4" s="38">
        <f>M3+1000</f>
        <v>13000</v>
      </c>
      <c r="N4" s="39">
        <f>N3+2000</f>
        <v>81409</v>
      </c>
      <c r="O4" s="39">
        <f>O3+3000</f>
        <v>123000</v>
      </c>
      <c r="P4" s="40">
        <f>P3+0.01</f>
        <v>0.307</v>
      </c>
      <c r="R4" s="213" t="s">
        <v>83</v>
      </c>
      <c r="AC4" s="16">
        <v>13</v>
      </c>
      <c r="AD4" s="16">
        <v>4</v>
      </c>
      <c r="AE4" s="16">
        <v>3</v>
      </c>
    </row>
    <row r="5" spans="1:31" x14ac:dyDescent="0.35">
      <c r="A5" s="24">
        <v>2027</v>
      </c>
      <c r="B5" s="16">
        <v>3</v>
      </c>
      <c r="C5" s="26">
        <f t="shared" si="0"/>
        <v>46447</v>
      </c>
      <c r="D5" s="36">
        <f t="shared" si="1"/>
        <v>46474</v>
      </c>
      <c r="E5" s="28">
        <v>3</v>
      </c>
      <c r="F5" s="16" t="s">
        <v>221</v>
      </c>
      <c r="G5" s="24">
        <f t="shared" si="2"/>
        <v>2027</v>
      </c>
      <c r="H5" s="16">
        <v>3</v>
      </c>
      <c r="I5" s="26">
        <f t="shared" ref="I5:I14" si="4">J4+1</f>
        <v>46447</v>
      </c>
      <c r="J5" s="35">
        <f t="shared" si="3"/>
        <v>46477</v>
      </c>
      <c r="K5" s="28"/>
      <c r="AC5" s="16">
        <v>15</v>
      </c>
      <c r="AD5" s="16">
        <v>6</v>
      </c>
      <c r="AE5" s="16">
        <v>4</v>
      </c>
    </row>
    <row r="6" spans="1:31" x14ac:dyDescent="0.35">
      <c r="A6" s="24">
        <v>2027</v>
      </c>
      <c r="B6" s="16">
        <v>4</v>
      </c>
      <c r="C6" s="26">
        <f t="shared" si="0"/>
        <v>46475</v>
      </c>
      <c r="D6" s="36">
        <f t="shared" si="1"/>
        <v>46502</v>
      </c>
      <c r="E6" s="28">
        <v>4</v>
      </c>
      <c r="F6" s="36" t="s">
        <v>222</v>
      </c>
      <c r="G6" s="24">
        <f t="shared" si="2"/>
        <v>2027</v>
      </c>
      <c r="H6" s="16">
        <v>4</v>
      </c>
      <c r="I6" s="26">
        <f t="shared" si="4"/>
        <v>46478</v>
      </c>
      <c r="J6" s="35">
        <f t="shared" si="3"/>
        <v>46507</v>
      </c>
      <c r="K6" s="28"/>
      <c r="AC6" s="16">
        <v>17</v>
      </c>
      <c r="AD6" s="16">
        <v>7</v>
      </c>
      <c r="AE6" s="16">
        <v>5</v>
      </c>
    </row>
    <row r="7" spans="1:31" x14ac:dyDescent="0.35">
      <c r="A7" s="24">
        <v>2027</v>
      </c>
      <c r="B7" s="16">
        <v>5</v>
      </c>
      <c r="C7" s="26">
        <f t="shared" si="0"/>
        <v>46503</v>
      </c>
      <c r="D7" s="36">
        <f t="shared" si="1"/>
        <v>46530</v>
      </c>
      <c r="E7" s="28">
        <v>5</v>
      </c>
      <c r="F7" s="16" t="s">
        <v>223</v>
      </c>
      <c r="G7" s="24">
        <f t="shared" si="2"/>
        <v>2027</v>
      </c>
      <c r="H7" s="16">
        <v>5</v>
      </c>
      <c r="I7" s="26">
        <f t="shared" si="4"/>
        <v>46508</v>
      </c>
      <c r="J7" s="35">
        <f t="shared" si="3"/>
        <v>46538</v>
      </c>
      <c r="K7" s="28"/>
      <c r="L7" s="41" t="s">
        <v>206</v>
      </c>
      <c r="M7" s="42" t="s">
        <v>224</v>
      </c>
      <c r="N7" s="42" t="s">
        <v>225</v>
      </c>
      <c r="O7" s="42" t="s">
        <v>226</v>
      </c>
      <c r="P7" s="42" t="s">
        <v>227</v>
      </c>
      <c r="Q7" s="42" t="s">
        <v>228</v>
      </c>
      <c r="R7" s="42" t="s">
        <v>229</v>
      </c>
      <c r="S7" s="42" t="s">
        <v>230</v>
      </c>
      <c r="T7" s="43" t="s">
        <v>231</v>
      </c>
      <c r="AC7" s="16">
        <v>18</v>
      </c>
      <c r="AD7" s="16">
        <v>11</v>
      </c>
      <c r="AE7" s="16">
        <v>6</v>
      </c>
    </row>
    <row r="8" spans="1:31" x14ac:dyDescent="0.35">
      <c r="A8" s="24">
        <v>2027</v>
      </c>
      <c r="B8" s="16">
        <v>6</v>
      </c>
      <c r="C8" s="26">
        <f t="shared" si="0"/>
        <v>46531</v>
      </c>
      <c r="D8" s="36">
        <f t="shared" si="1"/>
        <v>46558</v>
      </c>
      <c r="E8" s="28">
        <v>6</v>
      </c>
      <c r="F8" s="36" t="s">
        <v>232</v>
      </c>
      <c r="G8" s="24">
        <f t="shared" si="2"/>
        <v>2027</v>
      </c>
      <c r="H8" s="16">
        <v>6</v>
      </c>
      <c r="I8" s="26">
        <f t="shared" si="4"/>
        <v>46539</v>
      </c>
      <c r="J8" s="35">
        <f t="shared" si="3"/>
        <v>46568</v>
      </c>
      <c r="K8" s="28"/>
      <c r="L8" s="34">
        <v>2027</v>
      </c>
      <c r="M8" s="16" t="s">
        <v>180</v>
      </c>
      <c r="N8" s="44">
        <v>8.31</v>
      </c>
      <c r="O8" s="44">
        <v>79409</v>
      </c>
      <c r="P8" s="44">
        <v>137800</v>
      </c>
      <c r="Q8" s="45">
        <v>0.3</v>
      </c>
      <c r="R8" s="45">
        <v>0.19839999999999999</v>
      </c>
      <c r="S8" s="46">
        <f>Q8-R8</f>
        <v>0.1016</v>
      </c>
      <c r="T8" s="47">
        <v>40</v>
      </c>
      <c r="U8" s="48" t="s">
        <v>233</v>
      </c>
      <c r="AC8" s="16">
        <v>22</v>
      </c>
      <c r="AD8" s="16">
        <v>18</v>
      </c>
      <c r="AE8" s="16">
        <v>20</v>
      </c>
    </row>
    <row r="9" spans="1:31" x14ac:dyDescent="0.35">
      <c r="A9" s="24">
        <v>2027</v>
      </c>
      <c r="B9" s="16">
        <v>7</v>
      </c>
      <c r="C9" s="26">
        <f t="shared" si="0"/>
        <v>46559</v>
      </c>
      <c r="D9" s="36">
        <f t="shared" si="1"/>
        <v>46586</v>
      </c>
      <c r="E9" s="28">
        <v>7</v>
      </c>
      <c r="F9" s="16" t="s">
        <v>234</v>
      </c>
      <c r="G9" s="24">
        <f t="shared" si="2"/>
        <v>2027</v>
      </c>
      <c r="H9" s="16">
        <v>7</v>
      </c>
      <c r="I9" s="26">
        <f t="shared" si="4"/>
        <v>46569</v>
      </c>
      <c r="J9" s="35">
        <f t="shared" si="3"/>
        <v>46599</v>
      </c>
      <c r="K9" s="28"/>
      <c r="L9" s="34">
        <v>2027</v>
      </c>
      <c r="M9" s="16" t="s">
        <v>25</v>
      </c>
      <c r="N9" s="44">
        <v>8.49</v>
      </c>
      <c r="O9" s="44">
        <v>79409</v>
      </c>
      <c r="P9" s="44">
        <v>137800</v>
      </c>
      <c r="Q9" s="45">
        <v>0.3</v>
      </c>
      <c r="R9" s="45">
        <v>0.17749999999999999</v>
      </c>
      <c r="S9" s="46">
        <f t="shared" ref="S9:S12" si="5">Q9-R9</f>
        <v>0.1225</v>
      </c>
      <c r="T9" s="47">
        <v>40</v>
      </c>
      <c r="U9" s="48" t="s">
        <v>235</v>
      </c>
      <c r="AC9" s="16">
        <v>23</v>
      </c>
      <c r="AD9" s="16">
        <v>21</v>
      </c>
      <c r="AE9" s="16">
        <v>21</v>
      </c>
    </row>
    <row r="10" spans="1:31" x14ac:dyDescent="0.35">
      <c r="A10" s="24">
        <v>2027</v>
      </c>
      <c r="B10" s="16">
        <v>8</v>
      </c>
      <c r="C10" s="26">
        <f t="shared" si="0"/>
        <v>46587</v>
      </c>
      <c r="D10" s="36">
        <f t="shared" si="1"/>
        <v>46614</v>
      </c>
      <c r="E10" s="28">
        <v>8</v>
      </c>
      <c r="F10" s="36" t="s">
        <v>236</v>
      </c>
      <c r="G10" s="24">
        <f t="shared" si="2"/>
        <v>2027</v>
      </c>
      <c r="H10" s="16">
        <v>8</v>
      </c>
      <c r="I10" s="26">
        <f t="shared" si="4"/>
        <v>46600</v>
      </c>
      <c r="J10" s="35">
        <f t="shared" si="3"/>
        <v>46630</v>
      </c>
      <c r="K10" s="28"/>
      <c r="L10" s="34">
        <v>2027</v>
      </c>
      <c r="M10" s="16" t="s">
        <v>172</v>
      </c>
      <c r="N10" s="44">
        <v>9.4499999999999993</v>
      </c>
      <c r="O10" s="44">
        <v>79409</v>
      </c>
      <c r="P10" s="44">
        <v>137800</v>
      </c>
      <c r="Q10" s="45">
        <v>0.3</v>
      </c>
      <c r="R10" s="45">
        <v>0.17810000000000001</v>
      </c>
      <c r="S10" s="46">
        <f t="shared" si="5"/>
        <v>0.12189999999999998</v>
      </c>
      <c r="T10" s="47">
        <v>40</v>
      </c>
      <c r="U10" s="48" t="s">
        <v>237</v>
      </c>
      <c r="AC10" s="16">
        <v>24</v>
      </c>
      <c r="AD10" s="16">
        <v>22</v>
      </c>
      <c r="AE10" s="16">
        <v>30</v>
      </c>
    </row>
    <row r="11" spans="1:31" x14ac:dyDescent="0.35">
      <c r="A11" s="24">
        <v>2027</v>
      </c>
      <c r="B11" s="16">
        <v>9</v>
      </c>
      <c r="C11" s="26">
        <f t="shared" si="0"/>
        <v>46615</v>
      </c>
      <c r="D11" s="36">
        <f t="shared" si="1"/>
        <v>46642</v>
      </c>
      <c r="E11" s="28">
        <v>9</v>
      </c>
      <c r="F11" s="16" t="s">
        <v>238</v>
      </c>
      <c r="G11" s="24">
        <f t="shared" si="2"/>
        <v>2027</v>
      </c>
      <c r="H11" s="16">
        <v>9</v>
      </c>
      <c r="I11" s="26">
        <f t="shared" si="4"/>
        <v>46631</v>
      </c>
      <c r="J11" s="35">
        <f t="shared" si="3"/>
        <v>46660</v>
      </c>
      <c r="K11" s="28"/>
      <c r="L11" s="34">
        <v>2027</v>
      </c>
      <c r="M11" s="16" t="s">
        <v>176</v>
      </c>
      <c r="N11" s="44">
        <v>9.1199999999999992</v>
      </c>
      <c r="O11" s="44">
        <v>79409</v>
      </c>
      <c r="P11" s="44">
        <v>137800</v>
      </c>
      <c r="Q11" s="45">
        <v>0.3</v>
      </c>
      <c r="R11" s="45">
        <v>0.18</v>
      </c>
      <c r="S11" s="46">
        <f t="shared" si="5"/>
        <v>0.12</v>
      </c>
      <c r="T11" s="47">
        <v>40</v>
      </c>
      <c r="U11" s="48" t="s">
        <v>239</v>
      </c>
      <c r="AC11" s="16">
        <v>31</v>
      </c>
      <c r="AD11" s="16">
        <v>23</v>
      </c>
      <c r="AE11" s="16">
        <v>32</v>
      </c>
    </row>
    <row r="12" spans="1:31" x14ac:dyDescent="0.35">
      <c r="A12" s="24">
        <v>2027</v>
      </c>
      <c r="B12" s="16">
        <v>10</v>
      </c>
      <c r="C12" s="26">
        <f t="shared" si="0"/>
        <v>46643</v>
      </c>
      <c r="D12" s="36">
        <f t="shared" si="1"/>
        <v>46670</v>
      </c>
      <c r="E12" s="28">
        <v>10</v>
      </c>
      <c r="F12" s="36" t="s">
        <v>240</v>
      </c>
      <c r="G12" s="24">
        <f t="shared" si="2"/>
        <v>2027</v>
      </c>
      <c r="H12" s="16">
        <v>10</v>
      </c>
      <c r="I12" s="26">
        <f t="shared" si="4"/>
        <v>46661</v>
      </c>
      <c r="J12" s="35">
        <f t="shared" si="3"/>
        <v>46691</v>
      </c>
      <c r="K12" s="28"/>
      <c r="L12" s="49">
        <v>2027</v>
      </c>
      <c r="M12" s="50" t="s">
        <v>241</v>
      </c>
      <c r="N12" s="51">
        <v>8.31</v>
      </c>
      <c r="O12" s="51">
        <v>79409</v>
      </c>
      <c r="P12" s="51">
        <v>137800</v>
      </c>
      <c r="Q12" s="52">
        <v>0.3</v>
      </c>
      <c r="R12" s="52">
        <v>0.17810000000000001</v>
      </c>
      <c r="S12" s="53">
        <f t="shared" si="5"/>
        <v>0.12189999999999998</v>
      </c>
      <c r="T12" s="54">
        <v>40</v>
      </c>
      <c r="AC12" s="16">
        <v>32</v>
      </c>
      <c r="AD12" s="16">
        <v>24</v>
      </c>
      <c r="AE12" s="16">
        <v>33</v>
      </c>
    </row>
    <row r="13" spans="1:31" x14ac:dyDescent="0.35">
      <c r="A13" s="24">
        <v>2027</v>
      </c>
      <c r="B13" s="16">
        <v>11</v>
      </c>
      <c r="C13" s="26">
        <f t="shared" si="0"/>
        <v>46671</v>
      </c>
      <c r="D13" s="36">
        <f t="shared" si="1"/>
        <v>46698</v>
      </c>
      <c r="E13" s="28">
        <v>11</v>
      </c>
      <c r="F13" s="16" t="s">
        <v>242</v>
      </c>
      <c r="G13" s="24">
        <f t="shared" si="2"/>
        <v>2027</v>
      </c>
      <c r="H13" s="16">
        <v>11</v>
      </c>
      <c r="I13" s="26">
        <f t="shared" si="4"/>
        <v>46692</v>
      </c>
      <c r="J13" s="35">
        <f t="shared" si="3"/>
        <v>46721</v>
      </c>
      <c r="K13" s="28"/>
      <c r="AC13" s="16">
        <v>33</v>
      </c>
      <c r="AD13" s="16">
        <v>79</v>
      </c>
      <c r="AE13" s="16">
        <v>34</v>
      </c>
    </row>
    <row r="14" spans="1:31" x14ac:dyDescent="0.35">
      <c r="A14" s="24">
        <v>2027</v>
      </c>
      <c r="B14" s="16">
        <v>12</v>
      </c>
      <c r="C14" s="26">
        <f t="shared" si="0"/>
        <v>46699</v>
      </c>
      <c r="D14" s="36">
        <f t="shared" si="1"/>
        <v>46726</v>
      </c>
      <c r="E14" s="28">
        <v>12</v>
      </c>
      <c r="F14" s="36" t="s">
        <v>243</v>
      </c>
      <c r="G14" s="24">
        <f t="shared" si="2"/>
        <v>2027</v>
      </c>
      <c r="H14" s="16">
        <v>12</v>
      </c>
      <c r="I14" s="26">
        <f t="shared" si="4"/>
        <v>46722</v>
      </c>
      <c r="J14" s="35">
        <f t="shared" si="3"/>
        <v>46752</v>
      </c>
      <c r="K14" s="28"/>
      <c r="AC14" s="16">
        <v>34</v>
      </c>
      <c r="AD14" s="16">
        <v>81</v>
      </c>
      <c r="AE14" s="16">
        <v>40</v>
      </c>
    </row>
    <row r="15" spans="1:31" x14ac:dyDescent="0.35">
      <c r="A15" s="24">
        <v>2027</v>
      </c>
      <c r="B15" s="50">
        <v>13</v>
      </c>
      <c r="C15" s="55">
        <f t="shared" si="0"/>
        <v>46727</v>
      </c>
      <c r="D15" s="119">
        <f t="shared" si="1"/>
        <v>46752</v>
      </c>
      <c r="E15" s="28">
        <v>13</v>
      </c>
      <c r="F15" s="36"/>
      <c r="G15" s="24">
        <f t="shared" ref="G15:G26" si="6">A16</f>
        <v>2028</v>
      </c>
      <c r="H15" s="25">
        <v>1</v>
      </c>
      <c r="I15" s="29">
        <f>DATE(G15, 1, 1)</f>
        <v>46753</v>
      </c>
      <c r="J15" s="27">
        <f>DATE(YEAR(I15), MONTH(I15)+1, 1-1)</f>
        <v>46783</v>
      </c>
      <c r="K15" s="28"/>
      <c r="AC15" s="16">
        <v>36</v>
      </c>
      <c r="AD15" s="16">
        <v>82</v>
      </c>
      <c r="AE15" s="16">
        <v>41</v>
      </c>
    </row>
    <row r="16" spans="1:31" x14ac:dyDescent="0.35">
      <c r="A16" s="24">
        <f t="shared" ref="A16:A29" si="7">A3+1</f>
        <v>2028</v>
      </c>
      <c r="B16" s="25">
        <v>1</v>
      </c>
      <c r="C16" s="29">
        <f t="shared" si="0"/>
        <v>46753</v>
      </c>
      <c r="D16" s="118">
        <f t="shared" si="1"/>
        <v>46782</v>
      </c>
      <c r="E16" s="28"/>
      <c r="F16" s="36"/>
      <c r="G16" s="24">
        <f t="shared" si="6"/>
        <v>2028</v>
      </c>
      <c r="H16" s="16">
        <v>2</v>
      </c>
      <c r="I16" s="26">
        <f>J15+1</f>
        <v>46784</v>
      </c>
      <c r="J16" s="35">
        <f t="shared" ref="J16:J26" si="8">DATE(YEAR(I16), MONTH(I16)+1, 1-1)</f>
        <v>46812</v>
      </c>
      <c r="K16" s="28"/>
      <c r="AC16" s="16">
        <v>37</v>
      </c>
      <c r="AD16" s="16">
        <v>83</v>
      </c>
      <c r="AE16" s="16">
        <v>50</v>
      </c>
    </row>
    <row r="17" spans="1:31" x14ac:dyDescent="0.35">
      <c r="A17" s="24">
        <f t="shared" si="7"/>
        <v>2028</v>
      </c>
      <c r="B17" s="16">
        <v>2</v>
      </c>
      <c r="C17" s="26">
        <f t="shared" si="0"/>
        <v>46783</v>
      </c>
      <c r="D17" s="36">
        <f t="shared" si="1"/>
        <v>46810</v>
      </c>
      <c r="E17" s="28"/>
      <c r="F17" s="36"/>
      <c r="G17" s="24">
        <f t="shared" si="6"/>
        <v>2028</v>
      </c>
      <c r="H17" s="16">
        <v>3</v>
      </c>
      <c r="I17" s="26">
        <f t="shared" ref="I17:I26" si="9">J16+1</f>
        <v>46813</v>
      </c>
      <c r="J17" s="35">
        <f t="shared" si="8"/>
        <v>46843</v>
      </c>
      <c r="K17" s="28"/>
      <c r="AC17" s="16">
        <v>38</v>
      </c>
      <c r="AE17" s="16">
        <v>51</v>
      </c>
    </row>
    <row r="18" spans="1:31" x14ac:dyDescent="0.35">
      <c r="A18" s="24">
        <f t="shared" si="7"/>
        <v>2028</v>
      </c>
      <c r="B18" s="16">
        <v>3</v>
      </c>
      <c r="C18" s="26">
        <f t="shared" si="0"/>
        <v>46811</v>
      </c>
      <c r="D18" s="36">
        <f t="shared" si="1"/>
        <v>46838</v>
      </c>
      <c r="E18" s="28"/>
      <c r="F18" s="36"/>
      <c r="G18" s="24">
        <f t="shared" si="6"/>
        <v>2028</v>
      </c>
      <c r="H18" s="16">
        <v>4</v>
      </c>
      <c r="I18" s="26">
        <f t="shared" si="9"/>
        <v>46844</v>
      </c>
      <c r="J18" s="35">
        <f t="shared" si="8"/>
        <v>46873</v>
      </c>
      <c r="K18" s="28"/>
      <c r="AC18" s="16">
        <v>39</v>
      </c>
      <c r="AE18" s="16">
        <v>90</v>
      </c>
    </row>
    <row r="19" spans="1:31" x14ac:dyDescent="0.35">
      <c r="A19" s="24">
        <f t="shared" si="7"/>
        <v>2028</v>
      </c>
      <c r="B19" s="16">
        <v>4</v>
      </c>
      <c r="C19" s="26">
        <f t="shared" si="0"/>
        <v>46839</v>
      </c>
      <c r="D19" s="36">
        <f t="shared" si="1"/>
        <v>46866</v>
      </c>
      <c r="E19" s="28"/>
      <c r="F19" s="36"/>
      <c r="G19" s="24">
        <f t="shared" si="6"/>
        <v>2028</v>
      </c>
      <c r="H19" s="16">
        <v>5</v>
      </c>
      <c r="I19" s="26">
        <f t="shared" si="9"/>
        <v>46874</v>
      </c>
      <c r="J19" s="35">
        <f t="shared" si="8"/>
        <v>46904</v>
      </c>
      <c r="K19" s="28"/>
      <c r="AC19" s="16">
        <v>40</v>
      </c>
      <c r="AE19" s="16">
        <v>91</v>
      </c>
    </row>
    <row r="20" spans="1:31" x14ac:dyDescent="0.35">
      <c r="A20" s="24">
        <f t="shared" si="7"/>
        <v>2028</v>
      </c>
      <c r="B20" s="16">
        <v>5</v>
      </c>
      <c r="C20" s="26">
        <f t="shared" si="0"/>
        <v>46867</v>
      </c>
      <c r="D20" s="36">
        <f t="shared" si="1"/>
        <v>46894</v>
      </c>
      <c r="E20" s="28"/>
      <c r="F20" s="36"/>
      <c r="G20" s="24">
        <f t="shared" si="6"/>
        <v>2028</v>
      </c>
      <c r="H20" s="16">
        <v>6</v>
      </c>
      <c r="I20" s="26">
        <f t="shared" si="9"/>
        <v>46905</v>
      </c>
      <c r="J20" s="35">
        <f t="shared" si="8"/>
        <v>46934</v>
      </c>
      <c r="K20" s="28"/>
      <c r="AC20" s="16">
        <v>42</v>
      </c>
      <c r="AE20" s="16">
        <v>92</v>
      </c>
    </row>
    <row r="21" spans="1:31" x14ac:dyDescent="0.35">
      <c r="A21" s="24">
        <f t="shared" si="7"/>
        <v>2028</v>
      </c>
      <c r="B21" s="16">
        <v>6</v>
      </c>
      <c r="C21" s="26">
        <f t="shared" si="0"/>
        <v>46895</v>
      </c>
      <c r="D21" s="36">
        <f t="shared" si="1"/>
        <v>46922</v>
      </c>
      <c r="E21" s="28"/>
      <c r="F21" s="36"/>
      <c r="G21" s="24">
        <f t="shared" si="6"/>
        <v>2028</v>
      </c>
      <c r="H21" s="16">
        <v>7</v>
      </c>
      <c r="I21" s="26">
        <f t="shared" si="9"/>
        <v>46935</v>
      </c>
      <c r="J21" s="35">
        <f t="shared" si="8"/>
        <v>46965</v>
      </c>
      <c r="K21" s="28"/>
      <c r="AC21" s="16">
        <v>43</v>
      </c>
      <c r="AE21" s="16">
        <v>99</v>
      </c>
    </row>
    <row r="22" spans="1:31" x14ac:dyDescent="0.35">
      <c r="A22" s="24">
        <f t="shared" si="7"/>
        <v>2028</v>
      </c>
      <c r="B22" s="16">
        <v>7</v>
      </c>
      <c r="C22" s="26">
        <f t="shared" si="0"/>
        <v>46923</v>
      </c>
      <c r="D22" s="36">
        <f t="shared" si="1"/>
        <v>46950</v>
      </c>
      <c r="E22" s="28"/>
      <c r="F22" s="36"/>
      <c r="G22" s="24">
        <f t="shared" si="6"/>
        <v>2028</v>
      </c>
      <c r="H22" s="16">
        <v>8</v>
      </c>
      <c r="I22" s="26">
        <f t="shared" si="9"/>
        <v>46966</v>
      </c>
      <c r="J22" s="35">
        <f t="shared" si="8"/>
        <v>46996</v>
      </c>
      <c r="K22" s="28"/>
      <c r="AC22" s="16">
        <v>45</v>
      </c>
    </row>
    <row r="23" spans="1:31" x14ac:dyDescent="0.35">
      <c r="A23" s="24">
        <f t="shared" si="7"/>
        <v>2028</v>
      </c>
      <c r="B23" s="16">
        <v>8</v>
      </c>
      <c r="C23" s="26">
        <f t="shared" si="0"/>
        <v>46951</v>
      </c>
      <c r="D23" s="36">
        <f t="shared" si="1"/>
        <v>46978</v>
      </c>
      <c r="E23" s="28"/>
      <c r="F23" s="36"/>
      <c r="G23" s="24">
        <f t="shared" si="6"/>
        <v>2028</v>
      </c>
      <c r="H23" s="16">
        <v>9</v>
      </c>
      <c r="I23" s="26">
        <f t="shared" si="9"/>
        <v>46997</v>
      </c>
      <c r="J23" s="35">
        <f t="shared" si="8"/>
        <v>47026</v>
      </c>
      <c r="K23" s="28"/>
      <c r="AC23" s="16">
        <v>50</v>
      </c>
    </row>
    <row r="24" spans="1:31" x14ac:dyDescent="0.35">
      <c r="A24" s="24">
        <f t="shared" si="7"/>
        <v>2028</v>
      </c>
      <c r="B24" s="16">
        <v>9</v>
      </c>
      <c r="C24" s="26">
        <f t="shared" si="0"/>
        <v>46979</v>
      </c>
      <c r="D24" s="36">
        <f t="shared" si="1"/>
        <v>47006</v>
      </c>
      <c r="E24" s="28"/>
      <c r="F24" s="36"/>
      <c r="G24" s="24">
        <f t="shared" si="6"/>
        <v>2028</v>
      </c>
      <c r="H24" s="16">
        <v>10</v>
      </c>
      <c r="I24" s="26">
        <f t="shared" si="9"/>
        <v>47027</v>
      </c>
      <c r="J24" s="35">
        <f t="shared" si="8"/>
        <v>47057</v>
      </c>
      <c r="K24" s="28"/>
      <c r="AC24" s="16">
        <v>54</v>
      </c>
    </row>
    <row r="25" spans="1:31" x14ac:dyDescent="0.35">
      <c r="A25" s="24">
        <f t="shared" si="7"/>
        <v>2028</v>
      </c>
      <c r="B25" s="16">
        <v>10</v>
      </c>
      <c r="C25" s="26">
        <f t="shared" si="0"/>
        <v>47007</v>
      </c>
      <c r="D25" s="36">
        <f t="shared" si="1"/>
        <v>47034</v>
      </c>
      <c r="E25" s="28"/>
      <c r="F25" s="36"/>
      <c r="G25" s="24">
        <f t="shared" si="6"/>
        <v>2028</v>
      </c>
      <c r="H25" s="16">
        <v>11</v>
      </c>
      <c r="I25" s="26">
        <f t="shared" si="9"/>
        <v>47058</v>
      </c>
      <c r="J25" s="35">
        <f t="shared" si="8"/>
        <v>47087</v>
      </c>
      <c r="K25" s="28"/>
      <c r="AC25" s="16">
        <v>53</v>
      </c>
    </row>
    <row r="26" spans="1:31" x14ac:dyDescent="0.35">
      <c r="A26" s="24">
        <f t="shared" si="7"/>
        <v>2028</v>
      </c>
      <c r="B26" s="16">
        <v>11</v>
      </c>
      <c r="C26" s="26">
        <f t="shared" si="0"/>
        <v>47035</v>
      </c>
      <c r="D26" s="36">
        <f t="shared" si="1"/>
        <v>47062</v>
      </c>
      <c r="E26" s="28"/>
      <c r="F26" s="36"/>
      <c r="G26" s="24">
        <f t="shared" si="6"/>
        <v>2028</v>
      </c>
      <c r="H26" s="50">
        <v>12</v>
      </c>
      <c r="I26" s="55">
        <f t="shared" si="9"/>
        <v>47088</v>
      </c>
      <c r="J26" s="56">
        <f t="shared" si="8"/>
        <v>47118</v>
      </c>
      <c r="K26" s="28"/>
      <c r="AC26" s="16">
        <v>55</v>
      </c>
    </row>
    <row r="27" spans="1:31" x14ac:dyDescent="0.35">
      <c r="A27" s="24">
        <f t="shared" si="7"/>
        <v>2028</v>
      </c>
      <c r="B27" s="16">
        <v>12</v>
      </c>
      <c r="C27" s="26">
        <f t="shared" si="0"/>
        <v>47063</v>
      </c>
      <c r="D27" s="36">
        <f t="shared" si="1"/>
        <v>47090</v>
      </c>
      <c r="E27" s="28"/>
      <c r="F27" s="36"/>
      <c r="AC27" s="16">
        <v>56</v>
      </c>
    </row>
    <row r="28" spans="1:31" x14ac:dyDescent="0.35">
      <c r="A28" s="24">
        <f t="shared" si="7"/>
        <v>2028</v>
      </c>
      <c r="B28" s="50">
        <v>13</v>
      </c>
      <c r="C28" s="55">
        <f t="shared" si="0"/>
        <v>47091</v>
      </c>
      <c r="D28" s="119">
        <f>C29-1</f>
        <v>47118</v>
      </c>
      <c r="E28" s="28"/>
      <c r="F28" s="36"/>
      <c r="AC28" s="16">
        <v>57</v>
      </c>
    </row>
    <row r="29" spans="1:31" x14ac:dyDescent="0.35">
      <c r="A29" s="24">
        <f t="shared" si="7"/>
        <v>2029</v>
      </c>
      <c r="B29" s="25">
        <v>1</v>
      </c>
      <c r="C29" s="29">
        <f t="shared" si="0"/>
        <v>47119</v>
      </c>
      <c r="D29" s="118"/>
      <c r="E29" s="28"/>
      <c r="F29" s="36"/>
      <c r="AC29" s="16">
        <v>58</v>
      </c>
    </row>
    <row r="30" spans="1:31" x14ac:dyDescent="0.35">
      <c r="F30" s="36"/>
      <c r="AC30" s="16">
        <v>59</v>
      </c>
    </row>
    <row r="31" spans="1:31" x14ac:dyDescent="0.35">
      <c r="F31" s="36"/>
      <c r="AC31" s="16">
        <v>60</v>
      </c>
    </row>
    <row r="32" spans="1:31" x14ac:dyDescent="0.35">
      <c r="F32" s="36"/>
      <c r="AC32" s="16">
        <v>61</v>
      </c>
    </row>
    <row r="33" spans="6:29" x14ac:dyDescent="0.35">
      <c r="F33" s="36"/>
      <c r="AC33" s="16">
        <v>62</v>
      </c>
    </row>
    <row r="34" spans="6:29" x14ac:dyDescent="0.35">
      <c r="F34" s="36"/>
      <c r="AC34" s="16">
        <v>63</v>
      </c>
    </row>
    <row r="35" spans="6:29" x14ac:dyDescent="0.35">
      <c r="F35" s="36"/>
    </row>
    <row r="36" spans="6:29" x14ac:dyDescent="0.35">
      <c r="F36" s="36"/>
    </row>
    <row r="37" spans="6:29" x14ac:dyDescent="0.35">
      <c r="F37" s="36"/>
    </row>
    <row r="38" spans="6:29" x14ac:dyDescent="0.35">
      <c r="F38" s="36"/>
    </row>
    <row r="39" spans="6:29" x14ac:dyDescent="0.35">
      <c r="F39" s="36"/>
    </row>
    <row r="40" spans="6:29" x14ac:dyDescent="0.35">
      <c r="F40" s="36"/>
    </row>
    <row r="41" spans="6:29" x14ac:dyDescent="0.35">
      <c r="F41" s="36"/>
    </row>
    <row r="42" spans="6:29" x14ac:dyDescent="0.35">
      <c r="F42" s="36"/>
    </row>
    <row r="43" spans="6:29" x14ac:dyDescent="0.35">
      <c r="F43" s="36"/>
    </row>
    <row r="44" spans="6:29" x14ac:dyDescent="0.35">
      <c r="F44" s="36"/>
    </row>
    <row r="45" spans="6:29" x14ac:dyDescent="0.35">
      <c r="F45" s="36"/>
    </row>
    <row r="46" spans="6:29" x14ac:dyDescent="0.35">
      <c r="F46" s="36"/>
    </row>
    <row r="47" spans="6:29" x14ac:dyDescent="0.35">
      <c r="F47" s="36"/>
    </row>
    <row r="48" spans="6:29" x14ac:dyDescent="0.35">
      <c r="F48" s="36"/>
    </row>
    <row r="49" spans="6:6" x14ac:dyDescent="0.35">
      <c r="F49" s="36"/>
    </row>
    <row r="50" spans="6:6" x14ac:dyDescent="0.35">
      <c r="F50" s="36"/>
    </row>
    <row r="51" spans="6:6" x14ac:dyDescent="0.35">
      <c r="F51" s="36"/>
    </row>
    <row r="52" spans="6:6" x14ac:dyDescent="0.35">
      <c r="F52" s="36"/>
    </row>
    <row r="53" spans="6:6" x14ac:dyDescent="0.35">
      <c r="F53" s="36"/>
    </row>
    <row r="54" spans="6:6" x14ac:dyDescent="0.35">
      <c r="F54" s="36"/>
    </row>
    <row r="55" spans="6:6" x14ac:dyDescent="0.35">
      <c r="F55" s="36"/>
    </row>
    <row r="56" spans="6:6" x14ac:dyDescent="0.35">
      <c r="F56" s="36"/>
    </row>
    <row r="57" spans="6:6" x14ac:dyDescent="0.35">
      <c r="F57" s="36"/>
    </row>
    <row r="58" spans="6:6" x14ac:dyDescent="0.35">
      <c r="F58" s="36"/>
    </row>
    <row r="59" spans="6:6" x14ac:dyDescent="0.35">
      <c r="F59" s="36"/>
    </row>
    <row r="60" spans="6:6" x14ac:dyDescent="0.35">
      <c r="F60" s="36"/>
    </row>
    <row r="61" spans="6:6" x14ac:dyDescent="0.35">
      <c r="F61" s="36"/>
    </row>
    <row r="62" spans="6:6" x14ac:dyDescent="0.35">
      <c r="F62" s="36"/>
    </row>
    <row r="63" spans="6:6" x14ac:dyDescent="0.35">
      <c r="F63" s="36"/>
    </row>
    <row r="64" spans="6:6" x14ac:dyDescent="0.35">
      <c r="F64" s="36"/>
    </row>
    <row r="65" spans="6:6" x14ac:dyDescent="0.35">
      <c r="F65" s="36"/>
    </row>
    <row r="66" spans="6:6" x14ac:dyDescent="0.35">
      <c r="F66" s="36"/>
    </row>
    <row r="67" spans="6:6" x14ac:dyDescent="0.35">
      <c r="F67" s="36"/>
    </row>
    <row r="68" spans="6:6" x14ac:dyDescent="0.35">
      <c r="F68" s="36"/>
    </row>
    <row r="69" spans="6:6" x14ac:dyDescent="0.35">
      <c r="F69" s="36"/>
    </row>
    <row r="70" spans="6:6" x14ac:dyDescent="0.35">
      <c r="F70" s="36"/>
    </row>
    <row r="71" spans="6:6" x14ac:dyDescent="0.35">
      <c r="F71" s="36"/>
    </row>
    <row r="72" spans="6:6" x14ac:dyDescent="0.35">
      <c r="F72" s="36"/>
    </row>
    <row r="73" spans="6:6" x14ac:dyDescent="0.35">
      <c r="F73" s="36"/>
    </row>
    <row r="74" spans="6:6" x14ac:dyDescent="0.35">
      <c r="F74" s="36"/>
    </row>
    <row r="75" spans="6:6" x14ac:dyDescent="0.35">
      <c r="F75" s="36"/>
    </row>
    <row r="76" spans="6:6" x14ac:dyDescent="0.35">
      <c r="F76" s="36"/>
    </row>
    <row r="77" spans="6:6" x14ac:dyDescent="0.35">
      <c r="F77" s="36"/>
    </row>
    <row r="78" spans="6:6" x14ac:dyDescent="0.35">
      <c r="F78" s="36"/>
    </row>
    <row r="79" spans="6:6" x14ac:dyDescent="0.35">
      <c r="F79" s="36"/>
    </row>
    <row r="80" spans="6:6" x14ac:dyDescent="0.35">
      <c r="F80" s="36"/>
    </row>
    <row r="81" spans="6:7" x14ac:dyDescent="0.35">
      <c r="F81" s="36"/>
    </row>
    <row r="82" spans="6:7" x14ac:dyDescent="0.35">
      <c r="F82" s="36"/>
    </row>
    <row r="83" spans="6:7" x14ac:dyDescent="0.35">
      <c r="F83" s="36"/>
    </row>
    <row r="84" spans="6:7" x14ac:dyDescent="0.35">
      <c r="F84" s="36"/>
    </row>
    <row r="85" spans="6:7" x14ac:dyDescent="0.35">
      <c r="F85" s="36"/>
    </row>
    <row r="86" spans="6:7" x14ac:dyDescent="0.35">
      <c r="F86" s="36"/>
    </row>
    <row r="87" spans="6:7" x14ac:dyDescent="0.35">
      <c r="F87" s="36"/>
    </row>
    <row r="88" spans="6:7" x14ac:dyDescent="0.35">
      <c r="F88" s="36"/>
    </row>
    <row r="89" spans="6:7" x14ac:dyDescent="0.35">
      <c r="F89" s="36"/>
    </row>
    <row r="90" spans="6:7" x14ac:dyDescent="0.35">
      <c r="F90" s="36"/>
    </row>
    <row r="91" spans="6:7" x14ac:dyDescent="0.35">
      <c r="F91" s="36"/>
      <c r="G91" s="16" t="e">
        <f>WEEKDAY(#REF!,2)</f>
        <v>#REF!</v>
      </c>
    </row>
    <row r="92" spans="6:7" x14ac:dyDescent="0.35">
      <c r="F92" s="36"/>
    </row>
    <row r="93" spans="6:7" x14ac:dyDescent="0.35">
      <c r="F93" s="36"/>
    </row>
    <row r="94" spans="6:7" x14ac:dyDescent="0.35">
      <c r="F94" s="36"/>
    </row>
  </sheetData>
  <hyperlinks>
    <hyperlink ref="U8" r:id="rId1" display="https://www.flexpedia.nl/kennis/branches/cao-beroepsgoederenvervoer-tln/" xr:uid="{4D3E408E-C2D3-4D99-9CAA-A5180756D3EB}"/>
    <hyperlink ref="U9" r:id="rId2" display="https://www.fnv.nl/getmedia/2c9aa04a-a0c5-4638-9a76-7c677772372b/501-zorgvervoer-en-taxi-cao-01-01-2026-tm-31-12-2027-v29052026.pdf?ext=.pdf" xr:uid="{2BF20611-E84C-42CF-BD33-2A30F15F510C}"/>
    <hyperlink ref="U10" r:id="rId3" display="https://www.fnv.nl/getmedia/3b41e1ff-3b9c-4847-baaf-14edb76b2954/504-besloten-busvervoer-cao-01-01-2025-tm-31-12-2026-v17062025.pdf?ext=.pdf" xr:uid="{69692BF4-7D11-4566-8F15-63F3A8A35989}"/>
    <hyperlink ref="U11" r:id="rId4" display="https://orsima.nl/wp-content/uploads/2025/07/Orsima-Cao-1-maart-2025-30-april-2026.pdf" xr:uid="{CF623443-7042-4CB6-ADB4-43E1BA0F2135}"/>
  </hyperlinks>
  <pageMargins left="0.7" right="0.7" top="0.75" bottom="0.75" header="0.3" footer="0.3"/>
  <pageSetup paperSize="9" orientation="portrait" r:id="rId5"/>
  <tableParts count="1">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E2CFB-D3C2-4A41-AC91-4D70DD426930}">
  <sheetPr>
    <tabColor theme="4" tint="0.79998168889431442"/>
  </sheetPr>
  <dimension ref="A1:AL30"/>
  <sheetViews>
    <sheetView showGridLines="0" zoomScale="90" zoomScaleNormal="90" workbookViewId="0">
      <pane xSplit="2" ySplit="30" topLeftCell="C34"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179687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8.1796875" customWidth="1"/>
    <col min="22" max="33" width="15.81640625" customWidth="1"/>
    <col min="34" max="34" width="19.453125" bestFit="1" customWidth="1"/>
    <col min="35" max="35" width="20.453125" customWidth="1"/>
    <col min="36" max="36" width="12.81640625" bestFit="1"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210" t="s">
        <v>18</v>
      </c>
      <c r="W1" s="211" t="s">
        <v>71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IF(OR(Datum_Einde_IKV="",Tabel135367[[#This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IF(Tabel135367[[#This Row],[Inkomsten-periode]]="","",DATEDIF(Geboortedatum,Tabel135367[[#This Row],[DatEindTv]],"Y"))</f>
        <v>33</v>
      </c>
      <c r="I2" s="146">
        <f>IF(Tabel135367[[#This Row],[Inkomsten-periode]]="","",IF(Datum_Aanvang_IKV="","",Datum_Aanvang_IKV))</f>
        <v>45658</v>
      </c>
      <c r="J2" s="146" t="str">
        <f>IF(Tabel135367[[#This Row],[Inkomsten-periode]]="","",IF(Datum_Einde_IKV="","",IF(Datum_Einde_IKV&lt;=Tabel135367[[#This Row],[DatEindTv]],Datum_Einde_IKV,"")))</f>
        <v/>
      </c>
      <c r="K2" s="138"/>
      <c r="L2" s="138">
        <v>15</v>
      </c>
      <c r="M2" s="138">
        <v>1</v>
      </c>
      <c r="N2" s="139">
        <v>173</v>
      </c>
      <c r="O2" s="140">
        <v>4324</v>
      </c>
      <c r="P2" s="140">
        <v>0</v>
      </c>
      <c r="Q2" s="140">
        <v>320</v>
      </c>
      <c r="R2" s="140">
        <v>0</v>
      </c>
      <c r="S2" s="140">
        <v>300</v>
      </c>
      <c r="T2" s="140">
        <v>4324</v>
      </c>
      <c r="U2" s="140"/>
      <c r="V2" s="184">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Row],[OpnAvwb]],0))))</f>
        <v>4944</v>
      </c>
      <c r="W2" s="185">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Row],[AantVerlU]],0))))</f>
        <v>173</v>
      </c>
      <c r="X2" s="184"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f>
        <v/>
      </c>
      <c r="Y2" s="185"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Row],[AantVerlU]],"")),"")</f>
        <v/>
      </c>
    </row>
    <row r="3" spans="1:38" s="113" customFormat="1" ht="16.399999999999999" customHeight="1" x14ac:dyDescent="0.25">
      <c r="A3" s="122" t="s">
        <v>21</v>
      </c>
      <c r="B3" s="133">
        <v>34162</v>
      </c>
      <c r="C3" s="202"/>
      <c r="D3" s="145">
        <f>IF(OR(Datum_Einde_IKV&gt;G2,Datum_Einde_IKV=""),IF(AND($B$2="Maandelijks", COUNTIF($D$1:D2, 12)=1), "",IF(OR(AND($B$2="Maandelijks", D2=12),AND($B$2="Vierwekelijks", D2=13), D2 = "Periode"), 1, D2+1)),"")</f>
        <v>2</v>
      </c>
      <c r="E3" s="145" t="str">
        <f>IF(OR(Datum_Einde_IKV="",Tabel135367[[#This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IF(Tabel135367[[#This Row],[Inkomsten-periode]]="","",DATEDIF(Geboortedatum,Tabel135367[[#This Row],[DatEindTv]],"Y"))</f>
        <v>33</v>
      </c>
      <c r="I3" s="146">
        <f>IF(Tabel135367[[#This Row],[Inkomsten-periode]]="","",IF(Datum_Aanvang_IKV="","",Datum_Aanvang_IKV))</f>
        <v>45658</v>
      </c>
      <c r="J3" s="146" t="str">
        <f>IF(Tabel135367[[#This Row],[Inkomsten-periode]]="","",IF(Datum_Einde_IKV="","",IF(Datum_Einde_IKV&lt;=Tabel135367[[#This Row],[DatEindTv]],Datum_Einde_IKV,"")))</f>
        <v/>
      </c>
      <c r="K3" s="141"/>
      <c r="L3" s="141">
        <v>15</v>
      </c>
      <c r="M3" s="141">
        <v>1</v>
      </c>
      <c r="N3" s="142">
        <v>173</v>
      </c>
      <c r="O3" s="143">
        <v>4384</v>
      </c>
      <c r="P3" s="143">
        <v>0</v>
      </c>
      <c r="Q3" s="143">
        <v>320</v>
      </c>
      <c r="R3" s="143">
        <v>0</v>
      </c>
      <c r="S3" s="143">
        <v>300</v>
      </c>
      <c r="T3" s="143">
        <v>4384</v>
      </c>
      <c r="U3" s="143"/>
      <c r="V3" s="184">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Row],[OpnAvwb]],0))))</f>
        <v>5004</v>
      </c>
      <c r="W3" s="186">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Row],[AantVerlU]],0))))</f>
        <v>173</v>
      </c>
      <c r="X3" s="184"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f>
        <v/>
      </c>
      <c r="Y3" s="186"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Row],[AantVerlU]],"")),"")</f>
        <v/>
      </c>
    </row>
    <row r="4" spans="1:38" s="113" customFormat="1" ht="16.399999999999999" customHeight="1" x14ac:dyDescent="0.25">
      <c r="A4" s="122" t="s">
        <v>22</v>
      </c>
      <c r="B4" s="134">
        <v>45658</v>
      </c>
      <c r="C4" s="202"/>
      <c r="D4" s="144">
        <f>IF(OR(Datum_Einde_IKV&gt;G3,Datum_Einde_IKV=""),IF(AND($B$2="Maandelijks", COUNTIF($D$1:D3, 12)=1), "",IF(OR(AND($B$2="Maandelijks", D3=12),AND($B$2="Vierwekelijks", D3=13), D3 = "Periode"), 1, D3+1)),"")</f>
        <v>3</v>
      </c>
      <c r="E4" s="145" t="str">
        <f>IF(OR(Datum_Einde_IKV="",Tabel135367[[#This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IF(Tabel135367[[#This Row],[Inkomsten-periode]]="","",DATEDIF(Geboortedatum,Tabel135367[[#This Row],[DatEindTv]],"Y"))</f>
        <v>33</v>
      </c>
      <c r="I4" s="146">
        <f>IF(Tabel135367[[#This Row],[Inkomsten-periode]]="","",IF(Datum_Aanvang_IKV="","",Datum_Aanvang_IKV))</f>
        <v>45658</v>
      </c>
      <c r="J4" s="146" t="str">
        <f>IF(Tabel135367[[#This Row],[Inkomsten-periode]]="","",IF(Datum_Einde_IKV="","",IF(Datum_Einde_IKV&lt;=Tabel135367[[#This Row],[DatEindTv]],Datum_Einde_IKV,"")))</f>
        <v/>
      </c>
      <c r="K4" s="138"/>
      <c r="L4" s="138">
        <v>15</v>
      </c>
      <c r="M4" s="138">
        <v>1</v>
      </c>
      <c r="N4" s="139">
        <v>173</v>
      </c>
      <c r="O4" s="140">
        <v>4396</v>
      </c>
      <c r="P4" s="140">
        <v>0</v>
      </c>
      <c r="Q4" s="140">
        <v>320</v>
      </c>
      <c r="R4" s="140">
        <v>0</v>
      </c>
      <c r="S4" s="140">
        <v>300</v>
      </c>
      <c r="T4" s="140">
        <v>4396</v>
      </c>
      <c r="U4" s="140"/>
      <c r="V4" s="184">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Row],[OpnAvwb]],0))))</f>
        <v>5016</v>
      </c>
      <c r="W4" s="186">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Row],[AantVerlU]],0))))</f>
        <v>173</v>
      </c>
      <c r="X4" s="184"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f>
        <v/>
      </c>
      <c r="Y4" s="186"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Row],[AantVerlU]],"")),"")</f>
        <v/>
      </c>
    </row>
    <row r="5" spans="1:38" s="113" customFormat="1" ht="16.399999999999999" customHeight="1" x14ac:dyDescent="0.25">
      <c r="A5" s="122" t="s">
        <v>23</v>
      </c>
      <c r="B5" s="133"/>
      <c r="C5" s="202"/>
      <c r="D5" s="145">
        <f>IF(OR(Datum_Einde_IKV&gt;G4,Datum_Einde_IKV=""),IF(AND($B$2="Maandelijks", COUNTIF($D$1:D4, 12)=1), "",IF(OR(AND($B$2="Maandelijks", D4=12),AND($B$2="Vierwekelijks", D4=13), D4 = "Periode"), 1, D4+1)),"")</f>
        <v>4</v>
      </c>
      <c r="E5" s="145" t="str">
        <f>IF(OR(Datum_Einde_IKV="",Tabel135367[[#This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IF(Tabel135367[[#This Row],[Inkomsten-periode]]="","",DATEDIF(Geboortedatum,Tabel135367[[#This Row],[DatEindTv]],"Y"))</f>
        <v>33</v>
      </c>
      <c r="I5" s="146">
        <f>IF(Tabel135367[[#This Row],[Inkomsten-periode]]="","",IF(Datum_Aanvang_IKV="","",Datum_Aanvang_IKV))</f>
        <v>45658</v>
      </c>
      <c r="J5" s="146" t="str">
        <f>IF(Tabel135367[[#This Row],[Inkomsten-periode]]="","",IF(Datum_Einde_IKV="","",IF(Datum_Einde_IKV&lt;=Tabel135367[[#This Row],[DatEindTv]],Datum_Einde_IKV,"")))</f>
        <v/>
      </c>
      <c r="K5" s="141"/>
      <c r="L5" s="141">
        <v>15</v>
      </c>
      <c r="M5" s="141">
        <v>1</v>
      </c>
      <c r="N5" s="142">
        <v>173</v>
      </c>
      <c r="O5" s="143">
        <v>4324</v>
      </c>
      <c r="P5" s="143">
        <v>0</v>
      </c>
      <c r="Q5" s="143">
        <v>320</v>
      </c>
      <c r="R5" s="143">
        <v>0</v>
      </c>
      <c r="S5" s="143">
        <v>300</v>
      </c>
      <c r="T5" s="143">
        <v>4324</v>
      </c>
      <c r="U5" s="143"/>
      <c r="V5" s="184">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Row],[OpnAvwb]],0))))</f>
        <v>4944</v>
      </c>
      <c r="W5" s="186">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Row],[AantVerlU]],0))))</f>
        <v>173</v>
      </c>
      <c r="X5" s="184"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f>
        <v/>
      </c>
      <c r="Y5" s="186"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Row],[AantVerlU]],"")),"")</f>
        <v/>
      </c>
    </row>
    <row r="6" spans="1:38" s="113" customFormat="1" ht="16.399999999999999" customHeight="1" x14ac:dyDescent="0.25">
      <c r="A6" s="122" t="s">
        <v>24</v>
      </c>
      <c r="B6" s="135" t="s">
        <v>172</v>
      </c>
      <c r="C6" s="203"/>
      <c r="D6" s="144">
        <f>IF(OR(Datum_Einde_IKV&gt;G5,Datum_Einde_IKV=""),IF(AND($B$2="Maandelijks", COUNTIF($D$1:D5, 12)=1), "",IF(OR(AND($B$2="Maandelijks", D5=12),AND($B$2="Vierwekelijks", D5=13), D5 = "Periode"), 1, D5+1)),"")</f>
        <v>5</v>
      </c>
      <c r="E6" s="145" t="str">
        <f>IF(OR(Datum_Einde_IKV="",Tabel135367[[#This Row],[DatAanvTv]]&lt;Datum_Einde_IKV),IF(E5="december","",IF(Verloningsperiodiciteit="maandelijks",rekenwaarden!F7,_xlfn.CONCAT("Periode ",rekenwaarden!E7))),"")</f>
        <v>mei</v>
      </c>
      <c r="F6" s="146">
        <f t="shared" si="0"/>
        <v>46508</v>
      </c>
      <c r="G6" s="146">
        <f>IF(F6="", "", IF(Verloningsperiodiciteit="Vierwekelijks", _xlfn.XLOOKUP(F6,rekenwaarden!$C$3:$C$54,rekenwaarden!$D$3:$D$54,"niet gevonden",-1), _xlfn.XLOOKUP(F6,rekenwaarden!$I$3:$I$54,rekenwaarden!$J$3:$J$54,"niet gevonden",-1)))</f>
        <v>46538</v>
      </c>
      <c r="H6" s="147">
        <f>IF(Tabel135367[[#This Row],[Inkomsten-periode]]="","",DATEDIF(Geboortedatum,Tabel135367[[#This Row],[DatEindTv]],"Y"))</f>
        <v>33</v>
      </c>
      <c r="I6" s="146">
        <f>IF(Tabel135367[[#This Row],[Inkomsten-periode]]="","",IF(Datum_Aanvang_IKV="","",Datum_Aanvang_IKV))</f>
        <v>45658</v>
      </c>
      <c r="J6" s="146" t="str">
        <f>IF(Tabel135367[[#This Row],[Inkomsten-periode]]="","",IF(Datum_Einde_IKV="","",IF(Datum_Einde_IKV&lt;=Tabel135367[[#This Row],[DatEindTv]],Datum_Einde_IKV,"")))</f>
        <v/>
      </c>
      <c r="K6" s="138"/>
      <c r="L6" s="138">
        <v>15</v>
      </c>
      <c r="M6" s="138">
        <v>1</v>
      </c>
      <c r="N6" s="139">
        <v>173</v>
      </c>
      <c r="O6" s="140">
        <v>9142</v>
      </c>
      <c r="P6" s="140">
        <v>3840</v>
      </c>
      <c r="Q6" s="140">
        <v>320</v>
      </c>
      <c r="R6" s="140">
        <v>0</v>
      </c>
      <c r="S6" s="140">
        <v>300</v>
      </c>
      <c r="T6" s="140">
        <v>9142</v>
      </c>
      <c r="U6" s="140"/>
      <c r="V6" s="184">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Row],[OpnAvwb]],0))))</f>
        <v>5922</v>
      </c>
      <c r="W6" s="186">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Row],[AantVerlU]],0))))</f>
        <v>173</v>
      </c>
      <c r="X6" s="184"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f>
        <v/>
      </c>
      <c r="Y6" s="186"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Row],[AantVerlU]],"")),"")</f>
        <v/>
      </c>
    </row>
    <row r="7" spans="1:38" s="113" customFormat="1" ht="16.399999999999999" customHeight="1" x14ac:dyDescent="0.25">
      <c r="A7" s="122" t="s">
        <v>26</v>
      </c>
      <c r="B7" s="136">
        <f>VLOOKUP(B6,rekenwaarden!M8:T12,8)</f>
        <v>40</v>
      </c>
      <c r="C7" s="204"/>
      <c r="D7" s="145">
        <f>IF(OR(Datum_Einde_IKV&gt;G6,Datum_Einde_IKV=""),IF(AND($B$2="Maandelijks", COUNTIF($D$1:D6, 12)=1), "",IF(OR(AND($B$2="Maandelijks", D6=12),AND($B$2="Vierwekelijks", D6=13), D6 = "Periode"), 1, D6+1)),"")</f>
        <v>6</v>
      </c>
      <c r="E7" s="145" t="str">
        <f>IF(OR(Datum_Einde_IKV="",Tabel135367[[#This Row],[DatAanvTv]]&lt;Datum_Einde_IKV),IF(E6="december","",IF(Verloningsperiodiciteit="maandelijks",rekenwaarden!F8,_xlfn.CONCAT("Periode ",rekenwaarden!E8))),"")</f>
        <v>juni</v>
      </c>
      <c r="F7" s="146">
        <f t="shared" si="0"/>
        <v>46539</v>
      </c>
      <c r="G7" s="146">
        <f>IF(F7="", "", IF(Verloningsperiodiciteit="Vierwekelijks", _xlfn.XLOOKUP(F7,rekenwaarden!$C$3:$C$54,rekenwaarden!$D$3:$D$54,"niet gevonden",-1), _xlfn.XLOOKUP(F7,rekenwaarden!$I$3:$I$54,rekenwaarden!$J$3:$J$54,"niet gevonden",-1)))</f>
        <v>46568</v>
      </c>
      <c r="H7" s="147">
        <f>IF(Tabel135367[[#This Row],[Inkomsten-periode]]="","",DATEDIF(Geboortedatum,Tabel135367[[#This Row],[DatEindTv]],"Y"))</f>
        <v>33</v>
      </c>
      <c r="I7" s="146">
        <f>IF(Tabel135367[[#This Row],[Inkomsten-periode]]="","",IF(Datum_Aanvang_IKV="","",Datum_Aanvang_IKV))</f>
        <v>45658</v>
      </c>
      <c r="J7" s="146" t="str">
        <f>IF(Tabel135367[[#This Row],[Inkomsten-periode]]="","",IF(Datum_Einde_IKV="","",IF(Datum_Einde_IKV&lt;=Tabel135367[[#This Row],[DatEindTv]],Datum_Einde_IKV,"")))</f>
        <v/>
      </c>
      <c r="K7" s="141"/>
      <c r="L7" s="141">
        <v>15</v>
      </c>
      <c r="M7" s="141">
        <v>1</v>
      </c>
      <c r="N7" s="142">
        <v>173</v>
      </c>
      <c r="O7" s="143">
        <v>4384</v>
      </c>
      <c r="P7" s="143">
        <v>0</v>
      </c>
      <c r="Q7" s="143">
        <v>320</v>
      </c>
      <c r="R7" s="143">
        <v>0</v>
      </c>
      <c r="S7" s="143">
        <v>300</v>
      </c>
      <c r="T7" s="143">
        <v>4384</v>
      </c>
      <c r="U7" s="143"/>
      <c r="V7" s="184">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Row],[OpnAvwb]],0))))</f>
        <v>5004</v>
      </c>
      <c r="W7" s="186">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Row],[AantVerlU]],0))))</f>
        <v>173</v>
      </c>
      <c r="X7" s="184"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f>
        <v/>
      </c>
      <c r="Y7" s="186"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Row],[AantVerlU]],"")),"")</f>
        <v/>
      </c>
    </row>
    <row r="8" spans="1:38" s="113" customFormat="1" ht="16.399999999999999" customHeight="1" x14ac:dyDescent="0.25">
      <c r="A8" s="122" t="s">
        <v>27</v>
      </c>
      <c r="B8" s="137" t="b">
        <v>1</v>
      </c>
      <c r="C8" s="202"/>
      <c r="D8" s="144">
        <f>IF(OR(Datum_Einde_IKV&gt;G7,Datum_Einde_IKV=""),IF(AND($B$2="Maandelijks", COUNTIF($D$1:D7, 12)=1), "",IF(OR(AND($B$2="Maandelijks", D7=12),AND($B$2="Vierwekelijks", D7=13), D7 = "Periode"), 1, D7+1)),"")</f>
        <v>7</v>
      </c>
      <c r="E8" s="145" t="str">
        <f>IF(OR(Datum_Einde_IKV="",Tabel135367[[#This Row],[DatAanvTv]]&lt;Datum_Einde_IKV),IF(E7="december","",IF(Verloningsperiodiciteit="maandelijks",rekenwaarden!F9,_xlfn.CONCAT("Periode ",rekenwaarden!E9))),"")</f>
        <v>juli</v>
      </c>
      <c r="F8" s="146">
        <f t="shared" si="0"/>
        <v>46569</v>
      </c>
      <c r="G8" s="146">
        <f>IF(F8="", "", IF(Verloningsperiodiciteit="Vierwekelijks", _xlfn.XLOOKUP(F8,rekenwaarden!$C$3:$C$54,rekenwaarden!$D$3:$D$54,"niet gevonden",-1), _xlfn.XLOOKUP(F8,rekenwaarden!$I$3:$I$54,rekenwaarden!$J$3:$J$54,"niet gevonden",-1)))</f>
        <v>46599</v>
      </c>
      <c r="H8" s="147">
        <f>IF(Tabel135367[[#This Row],[Inkomsten-periode]]="","",DATEDIF(Geboortedatum,Tabel135367[[#This Row],[DatEindTv]],"Y"))</f>
        <v>34</v>
      </c>
      <c r="I8" s="146">
        <f>IF(Tabel135367[[#This Row],[Inkomsten-periode]]="","",IF(Datum_Aanvang_IKV="","",Datum_Aanvang_IKV))</f>
        <v>45658</v>
      </c>
      <c r="J8" s="146" t="str">
        <f>IF(Tabel135367[[#This Row],[Inkomsten-periode]]="","",IF(Datum_Einde_IKV="","",IF(Datum_Einde_IKV&lt;=Tabel135367[[#This Row],[DatEindTv]],Datum_Einde_IKV,"")))</f>
        <v/>
      </c>
      <c r="K8" s="138"/>
      <c r="L8" s="138">
        <v>15</v>
      </c>
      <c r="M8" s="138">
        <v>1</v>
      </c>
      <c r="N8" s="139">
        <v>173</v>
      </c>
      <c r="O8" s="140">
        <v>4000</v>
      </c>
      <c r="P8" s="140">
        <v>0</v>
      </c>
      <c r="Q8" s="140">
        <v>320</v>
      </c>
      <c r="R8" s="140">
        <v>0</v>
      </c>
      <c r="S8" s="140">
        <v>300</v>
      </c>
      <c r="T8" s="140">
        <v>4000</v>
      </c>
      <c r="U8" s="140"/>
      <c r="V8" s="184">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Row],[OpnAvwb]],0))))</f>
        <v>4620</v>
      </c>
      <c r="W8" s="186">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Row],[AantVerlU]],0))))</f>
        <v>173</v>
      </c>
      <c r="X8" s="184"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f>
        <v/>
      </c>
      <c r="Y8" s="186"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Row],[AantVerlU]],"")),"")</f>
        <v/>
      </c>
    </row>
    <row r="9" spans="1:38" s="113" customFormat="1" ht="16.399999999999999" customHeight="1" x14ac:dyDescent="0.25">
      <c r="A9" s="122"/>
      <c r="B9" s="131"/>
      <c r="C9" s="200"/>
      <c r="D9" s="145">
        <f>IF(OR(Datum_Einde_IKV&gt;G8,Datum_Einde_IKV=""),IF(AND($B$2="Maandelijks", COUNTIF($D$1:D8, 12)=1), "",IF(OR(AND($B$2="Maandelijks", D8=12),AND($B$2="Vierwekelijks", D8=13), D8 = "Periode"), 1, D8+1)),"")</f>
        <v>8</v>
      </c>
      <c r="E9" s="145" t="str">
        <f>IF(OR(Datum_Einde_IKV="",Tabel135367[[#This Row],[DatAanvTv]]&lt;Datum_Einde_IKV),IF(E8="december","",IF(Verloningsperiodiciteit="maandelijks",rekenwaarden!F10,_xlfn.CONCAT("Periode ",rekenwaarden!E10))),"")</f>
        <v>augustus</v>
      </c>
      <c r="F9" s="146">
        <f t="shared" si="0"/>
        <v>46600</v>
      </c>
      <c r="G9" s="146">
        <f>IF(F9="", "", IF(Verloningsperiodiciteit="Vierwekelijks", _xlfn.XLOOKUP(F9,rekenwaarden!$C$3:$C$54,rekenwaarden!$D$3:$D$54,"niet gevonden",-1), _xlfn.XLOOKUP(F9,rekenwaarden!$I$3:$I$54,rekenwaarden!$J$3:$J$54,"niet gevonden",-1)))</f>
        <v>46630</v>
      </c>
      <c r="H9" s="147">
        <f>IF(Tabel135367[[#This Row],[Inkomsten-periode]]="","",DATEDIF(Geboortedatum,Tabel135367[[#This Row],[DatEindTv]],"Y"))</f>
        <v>34</v>
      </c>
      <c r="I9" s="146">
        <f>IF(Tabel135367[[#This Row],[Inkomsten-periode]]="","",IF(Datum_Aanvang_IKV="","",Datum_Aanvang_IKV))</f>
        <v>45658</v>
      </c>
      <c r="J9" s="146" t="str">
        <f>IF(Tabel135367[[#This Row],[Inkomsten-periode]]="","",IF(Datum_Einde_IKV="","",IF(Datum_Einde_IKV&lt;=Tabel135367[[#This Row],[DatEindTv]],Datum_Einde_IKV,"")))</f>
        <v/>
      </c>
      <c r="K9" s="141"/>
      <c r="L9" s="141">
        <v>15</v>
      </c>
      <c r="M9" s="141">
        <v>1</v>
      </c>
      <c r="N9" s="142">
        <v>173</v>
      </c>
      <c r="O9" s="143">
        <v>4324</v>
      </c>
      <c r="P9" s="143">
        <v>0</v>
      </c>
      <c r="Q9" s="143">
        <v>320</v>
      </c>
      <c r="R9" s="143">
        <v>0</v>
      </c>
      <c r="S9" s="143">
        <v>300</v>
      </c>
      <c r="T9" s="143">
        <v>4324</v>
      </c>
      <c r="U9" s="143"/>
      <c r="V9" s="184">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Row],[OpnAvwb]],0))))</f>
        <v>4944</v>
      </c>
      <c r="W9" s="186">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Row],[AantVerlU]],0))))</f>
        <v>173</v>
      </c>
      <c r="X9" s="184"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f>
        <v/>
      </c>
      <c r="Y9" s="186"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Row],[AantVerlU]],"")),"")</f>
        <v/>
      </c>
    </row>
    <row r="10" spans="1:38" s="113" customFormat="1" ht="16.399999999999999" customHeight="1" thickBot="1" x14ac:dyDescent="0.3">
      <c r="A10" s="200"/>
      <c r="B10" s="200"/>
      <c r="C10" s="200"/>
      <c r="D10" s="144">
        <f>IF(OR(Datum_Einde_IKV&gt;G9,Datum_Einde_IKV=""),IF(AND($B$2="Maandelijks", COUNTIF($D$1:D9, 12)=1), "",IF(OR(AND($B$2="Maandelijks", D9=12),AND($B$2="Vierwekelijks", D9=13), D9 = "Periode"), 1, D9+1)),"")</f>
        <v>9</v>
      </c>
      <c r="E10" s="145" t="str">
        <f>IF(OR(Datum_Einde_IKV="",Tabel135367[[#This Row],[DatAanvTv]]&lt;Datum_Einde_IKV),IF(E9="december","",IF(Verloningsperiodiciteit="maandelijks",rekenwaarden!F11,_xlfn.CONCAT("Periode ",rekenwaarden!E11))),"")</f>
        <v>september</v>
      </c>
      <c r="F10" s="146">
        <f t="shared" si="0"/>
        <v>46631</v>
      </c>
      <c r="G10" s="146">
        <f>IF(F10="", "", IF(Verloningsperiodiciteit="Vierwekelijks", _xlfn.XLOOKUP(F10,rekenwaarden!$C$3:$C$54,rekenwaarden!$D$3:$D$54,"niet gevonden",-1), _xlfn.XLOOKUP(F10,rekenwaarden!$I$3:$I$54,rekenwaarden!$J$3:$J$54,"niet gevonden",-1)))</f>
        <v>46660</v>
      </c>
      <c r="H10" s="147">
        <f>IF(Tabel135367[[#This Row],[Inkomsten-periode]]="","",DATEDIF(Geboortedatum,Tabel135367[[#This Row],[DatEindTv]],"Y"))</f>
        <v>34</v>
      </c>
      <c r="I10" s="146">
        <f>IF(Tabel135367[[#This Row],[Inkomsten-periode]]="","",IF(Datum_Aanvang_IKV="","",Datum_Aanvang_IKV))</f>
        <v>45658</v>
      </c>
      <c r="J10" s="146" t="str">
        <f>IF(Tabel135367[[#This Row],[Inkomsten-periode]]="","",IF(Datum_Einde_IKV="","",IF(Datum_Einde_IKV&lt;=Tabel135367[[#This Row],[DatEindTv]],Datum_Einde_IKV,"")))</f>
        <v/>
      </c>
      <c r="K10" s="138"/>
      <c r="L10" s="138">
        <v>15</v>
      </c>
      <c r="M10" s="138">
        <v>1</v>
      </c>
      <c r="N10" s="139">
        <v>173</v>
      </c>
      <c r="O10" s="140">
        <v>4396</v>
      </c>
      <c r="P10" s="140">
        <v>0</v>
      </c>
      <c r="Q10" s="140">
        <v>320</v>
      </c>
      <c r="R10" s="140">
        <v>0</v>
      </c>
      <c r="S10" s="140">
        <v>300</v>
      </c>
      <c r="T10" s="140">
        <v>4396</v>
      </c>
      <c r="U10" s="140"/>
      <c r="V10" s="184">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Row],[OpnAvwb]],0))))</f>
        <v>5016</v>
      </c>
      <c r="W10" s="186">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Row],[AantVerlU]],0))))</f>
        <v>173</v>
      </c>
      <c r="X10" s="184"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f>
        <v/>
      </c>
      <c r="Y10" s="186"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Row],[AantVerlU]],"")),"")</f>
        <v/>
      </c>
    </row>
    <row r="11" spans="1:38" s="113" customFormat="1" ht="16.399999999999999" customHeight="1" x14ac:dyDescent="0.25">
      <c r="A11" s="245" t="s">
        <v>65</v>
      </c>
      <c r="B11" s="246"/>
      <c r="C11" s="200"/>
      <c r="D11" s="145">
        <f>IF(OR(Datum_Einde_IKV&gt;G10,Datum_Einde_IKV=""),IF(AND($B$2="Maandelijks", COUNTIF($D$1:D10, 12)=1), "",IF(OR(AND($B$2="Maandelijks", D10=12),AND($B$2="Vierwekelijks", D10=13), D10 = "Periode"), 1, D10+1)),"")</f>
        <v>10</v>
      </c>
      <c r="E11" s="145" t="str">
        <f>IF(OR(Datum_Einde_IKV="",Tabel135367[[#This Row],[DatAanvTv]]&lt;Datum_Einde_IKV),IF(E10="december","",IF(Verloningsperiodiciteit="maandelijks",rekenwaarden!F12,_xlfn.CONCAT("Periode ",rekenwaarden!E12))),"")</f>
        <v>oktober</v>
      </c>
      <c r="F11" s="146">
        <f t="shared" si="0"/>
        <v>46661</v>
      </c>
      <c r="G11" s="146">
        <f>IF(F11="", "", IF(Verloningsperiodiciteit="Vierwekelijks", _xlfn.XLOOKUP(F11,rekenwaarden!$C$3:$C$54,rekenwaarden!$D$3:$D$54,"niet gevonden",-1), _xlfn.XLOOKUP(F11,rekenwaarden!$I$3:$I$54,rekenwaarden!$J$3:$J$54,"niet gevonden",-1)))</f>
        <v>46691</v>
      </c>
      <c r="H11" s="147">
        <f>IF(Tabel135367[[#This Row],[Inkomsten-periode]]="","",DATEDIF(Geboortedatum,Tabel135367[[#This Row],[DatEindTv]],"Y"))</f>
        <v>34</v>
      </c>
      <c r="I11" s="146">
        <f>IF(Tabel135367[[#This Row],[Inkomsten-periode]]="","",IF(Datum_Aanvang_IKV="","",Datum_Aanvang_IKV))</f>
        <v>45658</v>
      </c>
      <c r="J11" s="146" t="str">
        <f>IF(Tabel135367[[#This Row],[Inkomsten-periode]]="","",IF(Datum_Einde_IKV="","",IF(Datum_Einde_IKV&lt;=Tabel135367[[#This Row],[DatEindTv]],Datum_Einde_IKV,"")))</f>
        <v/>
      </c>
      <c r="K11" s="141"/>
      <c r="L11" s="141">
        <v>15</v>
      </c>
      <c r="M11" s="141">
        <v>1</v>
      </c>
      <c r="N11" s="142">
        <v>173</v>
      </c>
      <c r="O11" s="143">
        <v>4424</v>
      </c>
      <c r="P11" s="143">
        <v>0</v>
      </c>
      <c r="Q11" s="143">
        <v>320</v>
      </c>
      <c r="R11" s="143">
        <v>0</v>
      </c>
      <c r="S11" s="143">
        <v>300</v>
      </c>
      <c r="T11" s="143">
        <v>4424</v>
      </c>
      <c r="U11" s="143"/>
      <c r="V11" s="184">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Row],[OpnAvwb]],0))))</f>
        <v>5044</v>
      </c>
      <c r="W11" s="186">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Row],[AantVerlU]],0))))</f>
        <v>173</v>
      </c>
      <c r="X11" s="184"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f>
        <v/>
      </c>
      <c r="Y11" s="186"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Row],[AantVerlU]],"")),"")</f>
        <v/>
      </c>
    </row>
    <row r="12" spans="1:38" s="113" customFormat="1" ht="16.399999999999999" customHeight="1" x14ac:dyDescent="0.25">
      <c r="A12" s="249" t="s">
        <v>173</v>
      </c>
      <c r="B12" s="250"/>
      <c r="C12" s="200"/>
      <c r="D12" s="144">
        <f>IF(OR(Datum_Einde_IKV&gt;G11,Datum_Einde_IKV=""),IF(AND($B$2="Maandelijks", COUNTIF($D$1:D11, 12)=1), "",IF(OR(AND($B$2="Maandelijks", D11=12),AND($B$2="Vierwekelijks", D11=13), D11 = "Periode"), 1, D11+1)),"")</f>
        <v>11</v>
      </c>
      <c r="E12" s="145" t="str">
        <f>IF(OR(Datum_Einde_IKV="",Tabel135367[[#This Row],[DatAanvTv]]&lt;Datum_Einde_IKV),IF(E11="december","",IF(Verloningsperiodiciteit="maandelijks",rekenwaarden!F13,_xlfn.CONCAT("Periode ",rekenwaarden!E13))),"")</f>
        <v>november</v>
      </c>
      <c r="F12" s="146">
        <f t="shared" si="0"/>
        <v>46692</v>
      </c>
      <c r="G12" s="146">
        <f>IF(F12="", "", IF(Verloningsperiodiciteit="Vierwekelijks", _xlfn.XLOOKUP(F12,rekenwaarden!$C$3:$C$54,rekenwaarden!$D$3:$D$54,"niet gevonden",-1), _xlfn.XLOOKUP(F12,rekenwaarden!$I$3:$I$54,rekenwaarden!$J$3:$J$54,"niet gevonden",-1)))</f>
        <v>46721</v>
      </c>
      <c r="H12" s="147">
        <f>IF(Tabel135367[[#This Row],[Inkomsten-periode]]="","",DATEDIF(Geboortedatum,Tabel135367[[#This Row],[DatEindTv]],"Y"))</f>
        <v>34</v>
      </c>
      <c r="I12" s="146">
        <f>IF(Tabel135367[[#This Row],[Inkomsten-periode]]="","",IF(Datum_Aanvang_IKV="","",Datum_Aanvang_IKV))</f>
        <v>45658</v>
      </c>
      <c r="J12" s="146" t="str">
        <f>IF(Tabel135367[[#This Row],[Inkomsten-periode]]="","",IF(Datum_Einde_IKV="","",IF(Datum_Einde_IKV&lt;=Tabel135367[[#This Row],[DatEindTv]],Datum_Einde_IKV,"")))</f>
        <v/>
      </c>
      <c r="K12" s="138"/>
      <c r="L12" s="138">
        <v>15</v>
      </c>
      <c r="M12" s="138">
        <v>1</v>
      </c>
      <c r="N12" s="139">
        <v>173</v>
      </c>
      <c r="O12" s="140">
        <v>4396</v>
      </c>
      <c r="P12" s="140">
        <v>0</v>
      </c>
      <c r="Q12" s="140">
        <v>320</v>
      </c>
      <c r="R12" s="140">
        <v>0</v>
      </c>
      <c r="S12" s="140">
        <v>300</v>
      </c>
      <c r="T12" s="140">
        <v>4396</v>
      </c>
      <c r="U12" s="140"/>
      <c r="V12" s="184">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Row],[OpnAvwb]],0))))</f>
        <v>5016</v>
      </c>
      <c r="W12" s="186">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Row],[AantVerlU]],0))))</f>
        <v>173</v>
      </c>
      <c r="X12" s="184"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f>
        <v/>
      </c>
      <c r="Y12" s="186"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Row],[AantVerlU]],"")),"")</f>
        <v/>
      </c>
    </row>
    <row r="13" spans="1:38" s="113" customFormat="1" ht="16.399999999999999" customHeight="1" x14ac:dyDescent="0.25">
      <c r="A13" s="249"/>
      <c r="B13" s="250"/>
      <c r="C13" s="200"/>
      <c r="D13" s="145">
        <f>IF(OR(Datum_Einde_IKV&gt;G12,Datum_Einde_IKV=""),IF(AND($B$2="Maandelijks", COUNTIF($D$1:D12, 12)=1), "",IF(OR(AND($B$2="Maandelijks", D12=12),AND($B$2="Vierwekelijks", D12=13), D12 = "Periode"), 1, D12+1)),"")</f>
        <v>12</v>
      </c>
      <c r="E13" s="145" t="str">
        <f>IF(OR(Datum_Einde_IKV="",Tabel135367[[#This Row],[DatAanvTv]]&lt;Datum_Einde_IKV),IF(E12="december","",IF(Verloningsperiodiciteit="maandelijks",rekenwaarden!F14,_xlfn.CONCAT("Periode ",rekenwaarden!E14))),"")</f>
        <v>december</v>
      </c>
      <c r="F13" s="146">
        <f t="shared" si="0"/>
        <v>46722</v>
      </c>
      <c r="G13" s="146">
        <f>IF(F13="", "", IF(Verloningsperiodiciteit="Vierwekelijks", _xlfn.XLOOKUP(F13,rekenwaarden!$C$3:$C$54,rekenwaarden!$D$3:$D$54,"niet gevonden",-1), _xlfn.XLOOKUP(F13,rekenwaarden!$I$3:$I$54,rekenwaarden!$J$3:$J$54,"niet gevonden",-1)))</f>
        <v>46752</v>
      </c>
      <c r="H13" s="147">
        <f>IF(Tabel135367[[#This Row],[Inkomsten-periode]]="","",DATEDIF(Geboortedatum,Tabel135367[[#This Row],[DatEindTv]],"Y"))</f>
        <v>34</v>
      </c>
      <c r="I13" s="146">
        <f>IF(Tabel135367[[#This Row],[Inkomsten-periode]]="","",IF(Datum_Aanvang_IKV="","",Datum_Aanvang_IKV))</f>
        <v>45658</v>
      </c>
      <c r="J13" s="146" t="str">
        <f>IF(Tabel135367[[#This Row],[Inkomsten-periode]]="","",IF(Datum_Einde_IKV="","",IF(Datum_Einde_IKV&lt;=Tabel135367[[#This Row],[DatEindTv]],Datum_Einde_IKV,"")))</f>
        <v/>
      </c>
      <c r="K13" s="141"/>
      <c r="L13" s="141">
        <v>15</v>
      </c>
      <c r="M13" s="141">
        <v>1</v>
      </c>
      <c r="N13" s="142">
        <v>173</v>
      </c>
      <c r="O13" s="143">
        <v>7924</v>
      </c>
      <c r="P13" s="143">
        <v>0</v>
      </c>
      <c r="Q13" s="143">
        <v>320</v>
      </c>
      <c r="R13" s="143">
        <v>3600</v>
      </c>
      <c r="S13" s="143">
        <v>300</v>
      </c>
      <c r="T13" s="143">
        <v>7924</v>
      </c>
      <c r="U13" s="143"/>
      <c r="V13" s="184">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Row],[OpnAvwb]],0))))</f>
        <v>4944</v>
      </c>
      <c r="W13" s="186">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Row],[AantVerlU]],0))))</f>
        <v>173</v>
      </c>
      <c r="X13" s="184"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f>
        <v/>
      </c>
      <c r="Y13" s="186"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Row],[AantVerlU]],"")),"")</f>
        <v/>
      </c>
    </row>
    <row r="14" spans="1:38" s="113" customFormat="1" ht="16.399999999999999" customHeight="1" x14ac:dyDescent="0.25">
      <c r="A14" s="249"/>
      <c r="B14" s="250"/>
      <c r="C14" s="200"/>
      <c r="D14" s="144" t="str">
        <f>IF(OR(Datum_Einde_IKV&gt;G13,Datum_Einde_IKV=""),IF(AND($B$2="Maandelijks", COUNTIF($D$1:D13, 12)=1), "",IF(OR(AND($B$2="Maandelijks", D13=12),AND($B$2="Vierwekelijks", D13=13), D13 = "Periode"), 1, D13+1)),"")</f>
        <v/>
      </c>
      <c r="E14" s="145" t="str">
        <f>IF(OR(Datum_Einde_IKV="",Tabel135367[[#This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IF(Tabel135367[[#This Row],[Inkomsten-periode]]="","",DATEDIF(Geboortedatum,Tabel135367[[#This Row],[DatEindTv]],"Y"))</f>
        <v/>
      </c>
      <c r="I14" s="146" t="str">
        <f>IF(Tabel135367[[#This Row],[Inkomsten-periode]]="","",IF(Datum_Aanvang_IKV="","",Datum_Aanvang_IKV))</f>
        <v/>
      </c>
      <c r="J14" s="146" t="str">
        <f>IF(Tabel135367[[#This Row],[Inkomsten-periode]]="","",IF(Datum_Einde_IKV="","",IF(Datum_Einde_IKV&lt;=Tabel135367[[#This Row],[DatEindTv]],Datum_Einde_IKV,"")))</f>
        <v/>
      </c>
      <c r="K14" s="138"/>
      <c r="L14" s="138"/>
      <c r="M14" s="138"/>
      <c r="N14" s="139"/>
      <c r="O14" s="140"/>
      <c r="P14" s="140"/>
      <c r="Q14" s="140"/>
      <c r="R14" s="140"/>
      <c r="S14" s="140"/>
      <c r="T14" s="140"/>
      <c r="U14" s="140"/>
      <c r="V14" s="184" t="str">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Row],[OpnAvwb]],0))))</f>
        <v/>
      </c>
      <c r="W14" s="187" t="str">
        <f>IF(Tabel135367[[#This Row],[Inkomsten-periode]]="","",IF(OR(Tabel135367[[#This Row],[Leeftijd]]&lt;18,Tabel135367[[#This Row],[Leeftijd]]&gt;=68),0,IF(Tabel135367[[#This Row],[CdRdnEindArbov]]=33,0,IF(AND(OR(Tabel135367[[#This Row],[SrtIV]]=13,Tabel135367[[#This Row],[SrtIV]]=15,Tabel135367[[#This Row],[SrtIV]]=31),OR(Tabel135367[[#This Row],[CdAard]]=1,Tabel135367[[#This Row],[CdAard]]=11,Tabel135367[[#This Row],[CdAard]]=82,Tabel135367[[#This Row],[CdAard]]=83)),Tabel135367[[#This Row],[AantVerlU]],0))))</f>
        <v/>
      </c>
      <c r="X14" s="184"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Row],[LnInGld]]+Tabel135367[[#This Row],[OpgRchtVakBsl]]-Tabel135367[[#This Row],[VakBsl]]+Tabel135367[[#This Row],[OpbAvwb]]-Tabel135367[[#This Row],[OpnAvwb]],"")),"")</f>
        <v/>
      </c>
      <c r="Y14" s="187" t="str">
        <f>IF(Tabel135367[[#This Row],[Inkomsten-periode]]="",IF(Tabel135367[[#This Row],[CdRdnEindArbov]]=33,0,IF(AND(OR(Tabel135367[[#This Row],[SrtIV]]=13,Tabel135367[[#This Row],[SrtIV]]=15,Tabel135367[[#This Row],[SrtIV]]=31),OR(Tabel135367[[#This Row],[CdAard]]=1,Tabel135367[[#This Row],[CdAard]]=11,Tabel135367[[#This Row],[CdAard]]=82,Tabel135367[[#This Row],[CdAard]]=83)),Tabel135367[[#This Row],[AantVerlU]],"")),"")</f>
        <v/>
      </c>
    </row>
    <row r="15" spans="1:38" ht="16.399999999999999" customHeight="1" thickBot="1" x14ac:dyDescent="0.3">
      <c r="A15" s="249"/>
      <c r="B15" s="250"/>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6.399999999999999" customHeight="1" x14ac:dyDescent="0.35">
      <c r="A16" s="249"/>
      <c r="B16" s="250"/>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249"/>
      <c r="B17" s="250"/>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249"/>
      <c r="B18" s="250"/>
      <c r="C18" s="200"/>
      <c r="D18" s="163">
        <f>D2</f>
        <v>1</v>
      </c>
      <c r="E18" s="150" t="str">
        <f>E2</f>
        <v>januari</v>
      </c>
      <c r="F18" s="151">
        <f>F2</f>
        <v>46388</v>
      </c>
      <c r="G18" s="151">
        <f>G2</f>
        <v>46418</v>
      </c>
      <c r="H18" s="188">
        <f t="shared" ref="H18:H30" si="1">IF(AND(W2="",Y2=""),"",MAX(W2,Y2))</f>
        <v>173</v>
      </c>
      <c r="I18" s="191">
        <f t="shared" ref="I18:I30" si="2">IF(AND(V2="",X2=""),"",MAX(V2,X2))</f>
        <v>4944</v>
      </c>
      <c r="J18" s="188">
        <f>IF($E18="","",IF($E19="",SUM(H18:H$30),H18))</f>
        <v>173</v>
      </c>
      <c r="K18" s="191">
        <f>IF($E18="","",IF($E19="",SUM(I18:I$30),I18))</f>
        <v>4944</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4944</v>
      </c>
      <c r="T18" s="157">
        <f t="shared" ref="T18:T30" si="10">IF(M18="","",J18+IF(AND(D18&lt;&gt;1, T17&lt;&gt;""),T17,0))</f>
        <v>173</v>
      </c>
      <c r="U18" s="157">
        <f t="shared" ref="U18:U30" si="11">IF(M18="","",R18+IF(AND(D18&lt;&gt;1, U17&lt;&gt;""),U17,0))</f>
        <v>173.33333333333334</v>
      </c>
      <c r="V18" s="158">
        <f>IF(M18="",0,T18/U18)</f>
        <v>0.99807692307692297</v>
      </c>
      <c r="W18" s="159">
        <f>IF(M18="","",VLOOKUP($B$6,rekenwaarden!M$8:N$12,2))</f>
        <v>9.4499999999999993</v>
      </c>
      <c r="X18" s="160">
        <f t="shared" ref="X18:X30" si="12">IF(M18="","",W18*J18)</f>
        <v>1634.85</v>
      </c>
      <c r="Y18" s="160">
        <f t="shared" ref="Y18:Y30" si="13">IF(M18="","",X18+IF(AND(D18&lt;&gt;1, Y17&lt;&gt;""),Y17,0))</f>
        <v>1634.85</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3309.15</v>
      </c>
      <c r="AE18" s="160">
        <f t="shared" ref="AE18:AE30" si="17">IF(M18="","",AD18-IF(AND(D18&lt;&gt;1, AD17&lt;&gt;""),AD17,0))</f>
        <v>3309.15</v>
      </c>
      <c r="AF18" s="160">
        <f>IF(OR($B$8="ONWAAR", M18=""), "", MAX(MIN(S18, AC18*MIN(1, V18))-AA18*MIN(1, V18), 0))</f>
        <v>0</v>
      </c>
      <c r="AG18" s="160">
        <f t="shared" ref="AG18:AG30" si="18">IF(OR(M18="", AF18=""),"",AF18-IF(AND(D18&lt;&gt;1, AF17&lt;&gt;""),AF17,0))</f>
        <v>0</v>
      </c>
      <c r="AH18" s="161">
        <f t="shared" ref="AH18:AH30" ca="1" si="19">IF($M18="", "", AE18*INDIRECT(CONCATENATE("premiepct", YEAR(F18))))</f>
        <v>982.81754999999998</v>
      </c>
      <c r="AI18" s="161">
        <f ca="1">IF(OR($F$4=FALSE, M18=""), "", AG18*INDIRECT(CONCATENATE("premiepct", YEAR($F18))))</f>
        <v>0</v>
      </c>
      <c r="AJ18" s="161"/>
      <c r="AK18" s="161"/>
      <c r="AL18" s="164">
        <f ca="1">IF(M18="","",SUM(AH18:AK18))</f>
        <v>982.81754999999998</v>
      </c>
    </row>
    <row r="19" spans="1:38" s="113" customFormat="1" ht="15.65" customHeight="1" x14ac:dyDescent="0.25">
      <c r="A19" s="249"/>
      <c r="B19" s="250"/>
      <c r="C19" s="200"/>
      <c r="D19" s="163">
        <f t="shared" ref="D19:G30" si="20">D3</f>
        <v>2</v>
      </c>
      <c r="E19" s="150" t="str">
        <f t="shared" si="20"/>
        <v>februari</v>
      </c>
      <c r="F19" s="151">
        <f t="shared" si="20"/>
        <v>46419</v>
      </c>
      <c r="G19" s="151">
        <f t="shared" si="20"/>
        <v>46446</v>
      </c>
      <c r="H19" s="189">
        <f t="shared" si="1"/>
        <v>173</v>
      </c>
      <c r="I19" s="192">
        <f t="shared" si="2"/>
        <v>5004</v>
      </c>
      <c r="J19" s="189">
        <f>IF($E19="","",IF($E20="",SUM(H19:H$30),H19))</f>
        <v>173</v>
      </c>
      <c r="K19" s="192">
        <f>IF($E19="","",IF($E20="",SUM(I19:I$30),I19))</f>
        <v>5004</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9948</v>
      </c>
      <c r="T19" s="157">
        <f t="shared" si="10"/>
        <v>346</v>
      </c>
      <c r="U19" s="157">
        <f t="shared" si="11"/>
        <v>346.66666666666669</v>
      </c>
      <c r="V19" s="158">
        <f t="shared" ref="V19:V30" si="22">IF(M19="","",T19/U19)</f>
        <v>0.99807692307692297</v>
      </c>
      <c r="W19" s="159">
        <f>IF(M19="","",VLOOKUP($B$6,rekenwaarden!M$8:N$12,2))</f>
        <v>9.4499999999999993</v>
      </c>
      <c r="X19" s="160">
        <f t="shared" si="12"/>
        <v>1634.85</v>
      </c>
      <c r="Y19" s="160">
        <f t="shared" si="13"/>
        <v>3269.7</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6678.3</v>
      </c>
      <c r="AE19" s="160">
        <f t="shared" si="17"/>
        <v>3369.15</v>
      </c>
      <c r="AF19" s="160">
        <f t="shared" ref="AF19:AF30" si="23">IF(OR($B$8="ONWAAR", M19=""), "", MAX(MIN(S19, AC19*MIN(1, V19))-AA19*MIN(1, V19), 0))</f>
        <v>0</v>
      </c>
      <c r="AG19" s="160">
        <f t="shared" si="18"/>
        <v>0</v>
      </c>
      <c r="AH19" s="161">
        <f t="shared" ca="1" si="19"/>
        <v>1000.63755</v>
      </c>
      <c r="AI19" s="161">
        <f t="shared" ref="AI19:AI30" ca="1" si="24">IF(OR($F$4=FALSE, M19=""), "", AG19*INDIRECT(CONCATENATE("premiepct", YEAR($F19))))</f>
        <v>0</v>
      </c>
      <c r="AJ19" s="161"/>
      <c r="AK19" s="161"/>
      <c r="AL19" s="164">
        <f t="shared" ref="AL19:AL30" ca="1" si="25">IF(M19="","",SUM(AH19:AK19))</f>
        <v>1000.63755</v>
      </c>
    </row>
    <row r="20" spans="1:38" s="113" customFormat="1" ht="15.65" customHeight="1" x14ac:dyDescent="0.25">
      <c r="A20" s="249"/>
      <c r="B20" s="250"/>
      <c r="C20" s="200"/>
      <c r="D20" s="163">
        <f t="shared" si="20"/>
        <v>3</v>
      </c>
      <c r="E20" s="150" t="str">
        <f t="shared" si="20"/>
        <v>maart</v>
      </c>
      <c r="F20" s="151">
        <f t="shared" si="20"/>
        <v>46447</v>
      </c>
      <c r="G20" s="151">
        <f t="shared" si="20"/>
        <v>46477</v>
      </c>
      <c r="H20" s="188">
        <f t="shared" si="1"/>
        <v>173</v>
      </c>
      <c r="I20" s="191">
        <f t="shared" si="2"/>
        <v>5016</v>
      </c>
      <c r="J20" s="188">
        <f>IF($E20="","",IF($E21="",SUM(H20:H$30),H20))</f>
        <v>173</v>
      </c>
      <c r="K20" s="191">
        <f>IF($E20="","",IF($E21="",SUM(I20:I$30),I20))</f>
        <v>5016</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14964</v>
      </c>
      <c r="T20" s="157">
        <f t="shared" si="10"/>
        <v>519</v>
      </c>
      <c r="U20" s="157">
        <f t="shared" si="11"/>
        <v>520</v>
      </c>
      <c r="V20" s="158">
        <f t="shared" si="22"/>
        <v>0.99807692307692308</v>
      </c>
      <c r="W20" s="159">
        <f>IF(M20="","",VLOOKUP($B$6,rekenwaarden!M$8:N$12,2))</f>
        <v>9.4499999999999993</v>
      </c>
      <c r="X20" s="160">
        <f t="shared" si="12"/>
        <v>1634.85</v>
      </c>
      <c r="Y20" s="160">
        <f t="shared" si="13"/>
        <v>4904.5499999999993</v>
      </c>
      <c r="Z20" s="160">
        <f>IF(M20="","", VLOOKUP(B$6,rekenwaarden!M$8:T$12,3)*Q20)</f>
        <v>6617.4166666666661</v>
      </c>
      <c r="AA20" s="160">
        <f t="shared" si="14"/>
        <v>19852.25</v>
      </c>
      <c r="AB20" s="160">
        <f>IF(M20="","", VLOOKUP($B$6,rekenwaarden!M$8:T$12,4)*Q20)</f>
        <v>11483.333333333332</v>
      </c>
      <c r="AC20" s="160">
        <f t="shared" si="15"/>
        <v>34450</v>
      </c>
      <c r="AD20" s="160">
        <f t="shared" si="16"/>
        <v>10059.450000000001</v>
      </c>
      <c r="AE20" s="160">
        <f t="shared" si="17"/>
        <v>3381.1500000000005</v>
      </c>
      <c r="AF20" s="160">
        <f t="shared" si="23"/>
        <v>0</v>
      </c>
      <c r="AG20" s="160">
        <f t="shared" si="18"/>
        <v>0</v>
      </c>
      <c r="AH20" s="161">
        <f t="shared" ca="1" si="19"/>
        <v>1004.2015500000001</v>
      </c>
      <c r="AI20" s="161">
        <f t="shared" ca="1" si="24"/>
        <v>0</v>
      </c>
      <c r="AJ20" s="161"/>
      <c r="AK20" s="161"/>
      <c r="AL20" s="164">
        <f t="shared" ca="1" si="25"/>
        <v>1004.2015500000001</v>
      </c>
    </row>
    <row r="21" spans="1:38" s="113" customFormat="1" ht="15.65" customHeight="1" x14ac:dyDescent="0.25">
      <c r="A21" s="249"/>
      <c r="B21" s="250"/>
      <c r="C21" s="200"/>
      <c r="D21" s="163">
        <f t="shared" si="20"/>
        <v>4</v>
      </c>
      <c r="E21" s="150" t="str">
        <f t="shared" si="20"/>
        <v>april</v>
      </c>
      <c r="F21" s="151">
        <f t="shared" si="20"/>
        <v>46478</v>
      </c>
      <c r="G21" s="151">
        <f t="shared" si="20"/>
        <v>46507</v>
      </c>
      <c r="H21" s="189">
        <f t="shared" si="1"/>
        <v>173</v>
      </c>
      <c r="I21" s="192">
        <f t="shared" si="2"/>
        <v>4944</v>
      </c>
      <c r="J21" s="189">
        <f>IF($E21="","",IF($E22="",SUM(H21:H$30),H21))</f>
        <v>173</v>
      </c>
      <c r="K21" s="192">
        <f>IF($E21="","",IF($E22="",SUM(I21:I$30),I21))</f>
        <v>4944</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19908</v>
      </c>
      <c r="T21" s="157">
        <f t="shared" si="10"/>
        <v>692</v>
      </c>
      <c r="U21" s="157">
        <f t="shared" si="11"/>
        <v>693.33333333333337</v>
      </c>
      <c r="V21" s="158">
        <f t="shared" si="22"/>
        <v>0.99807692307692297</v>
      </c>
      <c r="W21" s="159">
        <f>IF(M21="","",VLOOKUP($B$6,rekenwaarden!M$8:N$12,2))</f>
        <v>9.4499999999999993</v>
      </c>
      <c r="X21" s="160">
        <f t="shared" si="12"/>
        <v>1634.85</v>
      </c>
      <c r="Y21" s="160">
        <f t="shared" si="13"/>
        <v>6539.4</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13368.6</v>
      </c>
      <c r="AE21" s="160">
        <f t="shared" si="17"/>
        <v>3309.1499999999996</v>
      </c>
      <c r="AF21" s="160">
        <f t="shared" si="23"/>
        <v>0</v>
      </c>
      <c r="AG21" s="160">
        <f t="shared" si="18"/>
        <v>0</v>
      </c>
      <c r="AH21" s="161">
        <f t="shared" ca="1" si="19"/>
        <v>982.81754999999987</v>
      </c>
      <c r="AI21" s="161">
        <f t="shared" ca="1" si="24"/>
        <v>0</v>
      </c>
      <c r="AJ21" s="161"/>
      <c r="AK21" s="161"/>
      <c r="AL21" s="164">
        <f t="shared" ca="1" si="25"/>
        <v>982.81754999999987</v>
      </c>
    </row>
    <row r="22" spans="1:38" s="113" customFormat="1" ht="15.65" customHeight="1" x14ac:dyDescent="0.25">
      <c r="A22" s="249"/>
      <c r="B22" s="250"/>
      <c r="C22" s="200"/>
      <c r="D22" s="163">
        <f t="shared" si="20"/>
        <v>5</v>
      </c>
      <c r="E22" s="150" t="str">
        <f t="shared" si="20"/>
        <v>mei</v>
      </c>
      <c r="F22" s="151">
        <f t="shared" si="20"/>
        <v>46508</v>
      </c>
      <c r="G22" s="151">
        <f t="shared" si="20"/>
        <v>46538</v>
      </c>
      <c r="H22" s="188">
        <f t="shared" si="1"/>
        <v>173</v>
      </c>
      <c r="I22" s="191">
        <f t="shared" si="2"/>
        <v>5922</v>
      </c>
      <c r="J22" s="188">
        <f>IF($E22="","",IF($E23="",SUM(H22:H$30),H22))</f>
        <v>173</v>
      </c>
      <c r="K22" s="191">
        <f>IF($E22="","",IF($E23="",SUM(I22:I$30),I22))</f>
        <v>5922</v>
      </c>
      <c r="L22" s="152">
        <f t="shared" si="3"/>
        <v>40</v>
      </c>
      <c r="M22" s="151">
        <f t="shared" si="4"/>
        <v>46508</v>
      </c>
      <c r="N22" s="151">
        <f t="shared" si="5"/>
        <v>46538</v>
      </c>
      <c r="O22" s="150">
        <f t="shared" si="21"/>
        <v>31</v>
      </c>
      <c r="P22" s="153">
        <f t="shared" si="6"/>
        <v>1</v>
      </c>
      <c r="Q22" s="154">
        <f t="shared" si="7"/>
        <v>8.3333333333333329E-2</v>
      </c>
      <c r="R22" s="155">
        <f t="shared" si="8"/>
        <v>173.33333333333334</v>
      </c>
      <c r="S22" s="156">
        <f t="shared" si="9"/>
        <v>25830</v>
      </c>
      <c r="T22" s="157">
        <f t="shared" si="10"/>
        <v>865</v>
      </c>
      <c r="U22" s="157">
        <f t="shared" si="11"/>
        <v>866.66666666666674</v>
      </c>
      <c r="V22" s="158">
        <f t="shared" si="22"/>
        <v>0.99807692307692297</v>
      </c>
      <c r="W22" s="159">
        <f>IF(M22="","",VLOOKUP($B$6,rekenwaarden!M$8:N$12,2))</f>
        <v>9.4499999999999993</v>
      </c>
      <c r="X22" s="160">
        <f t="shared" si="12"/>
        <v>1634.85</v>
      </c>
      <c r="Y22" s="160">
        <f t="shared" si="13"/>
        <v>8174.25</v>
      </c>
      <c r="Z22" s="160">
        <f>IF(M22="","", VLOOKUP(B$6,rekenwaarden!M$8:T$12,3)*Q22)</f>
        <v>6617.4166666666661</v>
      </c>
      <c r="AA22" s="160">
        <f t="shared" si="14"/>
        <v>33087.083333333328</v>
      </c>
      <c r="AB22" s="160">
        <f>IF(M22="","", VLOOKUP($B$6,rekenwaarden!M$8:T$12,4)*Q22)</f>
        <v>11483.333333333332</v>
      </c>
      <c r="AC22" s="160">
        <f t="shared" si="15"/>
        <v>57416.666666666657</v>
      </c>
      <c r="AD22" s="160">
        <f t="shared" si="16"/>
        <v>17655.75</v>
      </c>
      <c r="AE22" s="160">
        <f t="shared" si="17"/>
        <v>4287.1499999999996</v>
      </c>
      <c r="AF22" s="160">
        <f t="shared" si="23"/>
        <v>0</v>
      </c>
      <c r="AG22" s="160">
        <f t="shared" si="18"/>
        <v>0</v>
      </c>
      <c r="AH22" s="161">
        <f t="shared" ca="1" si="19"/>
        <v>1273.2835499999999</v>
      </c>
      <c r="AI22" s="161">
        <f t="shared" ca="1" si="24"/>
        <v>0</v>
      </c>
      <c r="AJ22" s="161"/>
      <c r="AK22" s="161"/>
      <c r="AL22" s="164">
        <f t="shared" ca="1" si="25"/>
        <v>1273.2835499999999</v>
      </c>
    </row>
    <row r="23" spans="1:38" s="113" customFormat="1" ht="15.65" customHeight="1" x14ac:dyDescent="0.25">
      <c r="A23" s="249"/>
      <c r="B23" s="250"/>
      <c r="C23" s="200"/>
      <c r="D23" s="163">
        <f t="shared" si="20"/>
        <v>6</v>
      </c>
      <c r="E23" s="150" t="str">
        <f t="shared" si="20"/>
        <v>juni</v>
      </c>
      <c r="F23" s="151">
        <f t="shared" si="20"/>
        <v>46539</v>
      </c>
      <c r="G23" s="151">
        <f t="shared" si="20"/>
        <v>46568</v>
      </c>
      <c r="H23" s="189">
        <f t="shared" si="1"/>
        <v>173</v>
      </c>
      <c r="I23" s="192">
        <f t="shared" si="2"/>
        <v>5004</v>
      </c>
      <c r="J23" s="189">
        <f>IF($E23="","",IF($E24="",SUM(H23:H$30),H23))</f>
        <v>173</v>
      </c>
      <c r="K23" s="192">
        <f>IF($E23="","",IF($E24="",SUM(I23:I$30),I23))</f>
        <v>5004</v>
      </c>
      <c r="L23" s="152">
        <f t="shared" si="3"/>
        <v>40</v>
      </c>
      <c r="M23" s="151">
        <f t="shared" si="4"/>
        <v>46539</v>
      </c>
      <c r="N23" s="151">
        <f t="shared" si="5"/>
        <v>46568</v>
      </c>
      <c r="O23" s="150">
        <f t="shared" si="21"/>
        <v>30</v>
      </c>
      <c r="P23" s="153">
        <f t="shared" si="6"/>
        <v>1</v>
      </c>
      <c r="Q23" s="154">
        <f t="shared" si="7"/>
        <v>8.3333333333333329E-2</v>
      </c>
      <c r="R23" s="155">
        <f t="shared" si="8"/>
        <v>173.33333333333334</v>
      </c>
      <c r="S23" s="156">
        <f t="shared" si="9"/>
        <v>30834</v>
      </c>
      <c r="T23" s="157">
        <f t="shared" si="10"/>
        <v>1038</v>
      </c>
      <c r="U23" s="157">
        <f t="shared" si="11"/>
        <v>1040</v>
      </c>
      <c r="V23" s="158">
        <f t="shared" si="22"/>
        <v>0.99807692307692308</v>
      </c>
      <c r="W23" s="159">
        <f>IF(M23="","",VLOOKUP($B$6,rekenwaarden!M$8:N$12,2))</f>
        <v>9.4499999999999993</v>
      </c>
      <c r="X23" s="160">
        <f t="shared" si="12"/>
        <v>1634.85</v>
      </c>
      <c r="Y23" s="160">
        <f t="shared" si="13"/>
        <v>9809.1</v>
      </c>
      <c r="Z23" s="160">
        <f>IF(M23="","", VLOOKUP(B$6,rekenwaarden!M$8:T$12,3)*Q23)</f>
        <v>6617.4166666666661</v>
      </c>
      <c r="AA23" s="160">
        <f t="shared" si="14"/>
        <v>39704.499999999993</v>
      </c>
      <c r="AB23" s="160">
        <f>IF(M23="","", VLOOKUP($B$6,rekenwaarden!M$8:T$12,4)*Q23)</f>
        <v>11483.333333333332</v>
      </c>
      <c r="AC23" s="160">
        <f t="shared" si="15"/>
        <v>68899.999999999985</v>
      </c>
      <c r="AD23" s="160">
        <f t="shared" si="16"/>
        <v>21024.9</v>
      </c>
      <c r="AE23" s="160">
        <f t="shared" si="17"/>
        <v>3369.1500000000015</v>
      </c>
      <c r="AF23" s="160">
        <f t="shared" si="23"/>
        <v>0</v>
      </c>
      <c r="AG23" s="160">
        <f t="shared" si="18"/>
        <v>0</v>
      </c>
      <c r="AH23" s="161">
        <f t="shared" ca="1" si="19"/>
        <v>1000.6375500000004</v>
      </c>
      <c r="AI23" s="161">
        <f t="shared" ca="1" si="24"/>
        <v>0</v>
      </c>
      <c r="AJ23" s="161"/>
      <c r="AK23" s="161"/>
      <c r="AL23" s="164">
        <f t="shared" ca="1" si="25"/>
        <v>1000.6375500000004</v>
      </c>
    </row>
    <row r="24" spans="1:38" s="113" customFormat="1" ht="15.65" customHeight="1" x14ac:dyDescent="0.25">
      <c r="A24" s="249"/>
      <c r="B24" s="250"/>
      <c r="C24" s="200"/>
      <c r="D24" s="163">
        <f t="shared" si="20"/>
        <v>7</v>
      </c>
      <c r="E24" s="150" t="str">
        <f t="shared" si="20"/>
        <v>juli</v>
      </c>
      <c r="F24" s="151">
        <f t="shared" si="20"/>
        <v>46569</v>
      </c>
      <c r="G24" s="151">
        <f t="shared" si="20"/>
        <v>46599</v>
      </c>
      <c r="H24" s="188">
        <f t="shared" si="1"/>
        <v>173</v>
      </c>
      <c r="I24" s="191">
        <f t="shared" si="2"/>
        <v>4620</v>
      </c>
      <c r="J24" s="188">
        <f>IF($E24="","",IF($E25="",SUM(H24:H$30),H24))</f>
        <v>173</v>
      </c>
      <c r="K24" s="191">
        <f>IF($E24="","",IF($E25="",SUM(I24:I$30),I24))</f>
        <v>4620</v>
      </c>
      <c r="L24" s="152">
        <f t="shared" si="3"/>
        <v>40</v>
      </c>
      <c r="M24" s="151">
        <f t="shared" si="4"/>
        <v>46569</v>
      </c>
      <c r="N24" s="151">
        <f t="shared" si="5"/>
        <v>46599</v>
      </c>
      <c r="O24" s="150">
        <f t="shared" si="21"/>
        <v>31</v>
      </c>
      <c r="P24" s="153">
        <f t="shared" si="6"/>
        <v>1</v>
      </c>
      <c r="Q24" s="154">
        <f t="shared" si="7"/>
        <v>8.3333333333333329E-2</v>
      </c>
      <c r="R24" s="155">
        <f t="shared" si="8"/>
        <v>173.33333333333334</v>
      </c>
      <c r="S24" s="156">
        <f t="shared" si="9"/>
        <v>35454</v>
      </c>
      <c r="T24" s="157">
        <f t="shared" si="10"/>
        <v>1211</v>
      </c>
      <c r="U24" s="157">
        <f t="shared" si="11"/>
        <v>1213.3333333333333</v>
      </c>
      <c r="V24" s="158">
        <f t="shared" si="22"/>
        <v>0.99807692307692319</v>
      </c>
      <c r="W24" s="159">
        <f>IF(M24="","",VLOOKUP($B$6,rekenwaarden!M$8:N$12,2))</f>
        <v>9.4499999999999993</v>
      </c>
      <c r="X24" s="160">
        <f t="shared" si="12"/>
        <v>1634.85</v>
      </c>
      <c r="Y24" s="160">
        <f t="shared" si="13"/>
        <v>11443.95</v>
      </c>
      <c r="Z24" s="160">
        <f>IF(M24="","", VLOOKUP(B$6,rekenwaarden!M$8:T$12,3)*Q24)</f>
        <v>6617.4166666666661</v>
      </c>
      <c r="AA24" s="160">
        <f t="shared" si="14"/>
        <v>46321.916666666657</v>
      </c>
      <c r="AB24" s="160">
        <f>IF(M24="","", VLOOKUP($B$6,rekenwaarden!M$8:T$12,4)*Q24)</f>
        <v>11483.333333333332</v>
      </c>
      <c r="AC24" s="160">
        <f t="shared" si="15"/>
        <v>80383.333333333314</v>
      </c>
      <c r="AD24" s="160">
        <f t="shared" si="16"/>
        <v>24010.05</v>
      </c>
      <c r="AE24" s="160">
        <f t="shared" si="17"/>
        <v>2985.1499999999978</v>
      </c>
      <c r="AF24" s="160">
        <f t="shared" si="23"/>
        <v>0</v>
      </c>
      <c r="AG24" s="160">
        <f t="shared" si="18"/>
        <v>0</v>
      </c>
      <c r="AH24" s="161">
        <f t="shared" ca="1" si="19"/>
        <v>886.58954999999935</v>
      </c>
      <c r="AI24" s="161">
        <f t="shared" ca="1" si="24"/>
        <v>0</v>
      </c>
      <c r="AJ24" s="161"/>
      <c r="AK24" s="161"/>
      <c r="AL24" s="164">
        <f t="shared" ca="1" si="25"/>
        <v>886.58954999999935</v>
      </c>
    </row>
    <row r="25" spans="1:38" s="113" customFormat="1" ht="15.65" customHeight="1" x14ac:dyDescent="0.25">
      <c r="A25" s="249"/>
      <c r="B25" s="250"/>
      <c r="C25" s="200"/>
      <c r="D25" s="163">
        <f t="shared" si="20"/>
        <v>8</v>
      </c>
      <c r="E25" s="150" t="str">
        <f t="shared" si="20"/>
        <v>augustus</v>
      </c>
      <c r="F25" s="151">
        <f t="shared" si="20"/>
        <v>46600</v>
      </c>
      <c r="G25" s="151">
        <f t="shared" si="20"/>
        <v>46630</v>
      </c>
      <c r="H25" s="189">
        <f t="shared" si="1"/>
        <v>173</v>
      </c>
      <c r="I25" s="192">
        <f t="shared" si="2"/>
        <v>4944</v>
      </c>
      <c r="J25" s="189">
        <f>IF($E25="","",IF($E26="",SUM(H25:H$30),H25))</f>
        <v>173</v>
      </c>
      <c r="K25" s="192">
        <f>IF($E25="","",IF($E26="",SUM(I25:I$30),I25))</f>
        <v>4944</v>
      </c>
      <c r="L25" s="152">
        <f t="shared" si="3"/>
        <v>40</v>
      </c>
      <c r="M25" s="151">
        <f t="shared" si="4"/>
        <v>46600</v>
      </c>
      <c r="N25" s="151">
        <f t="shared" si="5"/>
        <v>46630</v>
      </c>
      <c r="O25" s="150">
        <f t="shared" si="21"/>
        <v>31</v>
      </c>
      <c r="P25" s="153">
        <f t="shared" si="6"/>
        <v>1</v>
      </c>
      <c r="Q25" s="154">
        <f t="shared" si="7"/>
        <v>8.3333333333333329E-2</v>
      </c>
      <c r="R25" s="155">
        <f t="shared" si="8"/>
        <v>173.33333333333334</v>
      </c>
      <c r="S25" s="156">
        <f t="shared" si="9"/>
        <v>40398</v>
      </c>
      <c r="T25" s="157">
        <f t="shared" si="10"/>
        <v>1384</v>
      </c>
      <c r="U25" s="157">
        <f t="shared" si="11"/>
        <v>1386.6666666666665</v>
      </c>
      <c r="V25" s="158">
        <f t="shared" si="22"/>
        <v>0.99807692307692319</v>
      </c>
      <c r="W25" s="159">
        <f>IF(M25="","",VLOOKUP($B$6,rekenwaarden!M$8:N$12,2))</f>
        <v>9.4499999999999993</v>
      </c>
      <c r="X25" s="160">
        <f t="shared" si="12"/>
        <v>1634.85</v>
      </c>
      <c r="Y25" s="160">
        <f t="shared" si="13"/>
        <v>13078.800000000001</v>
      </c>
      <c r="Z25" s="160">
        <f>IF(M25="","", VLOOKUP(B$6,rekenwaarden!M$8:T$12,3)*Q25)</f>
        <v>6617.4166666666661</v>
      </c>
      <c r="AA25" s="160">
        <f t="shared" si="14"/>
        <v>52939.333333333321</v>
      </c>
      <c r="AB25" s="160">
        <f>IF(M25="","", VLOOKUP($B$6,rekenwaarden!M$8:T$12,4)*Q25)</f>
        <v>11483.333333333332</v>
      </c>
      <c r="AC25" s="160">
        <f t="shared" si="15"/>
        <v>91866.666666666642</v>
      </c>
      <c r="AD25" s="160">
        <f t="shared" si="16"/>
        <v>27319.199999999997</v>
      </c>
      <c r="AE25" s="160">
        <f t="shared" si="17"/>
        <v>3309.1499999999978</v>
      </c>
      <c r="AF25" s="160">
        <f t="shared" si="23"/>
        <v>0</v>
      </c>
      <c r="AG25" s="160">
        <f t="shared" si="18"/>
        <v>0</v>
      </c>
      <c r="AH25" s="161">
        <f t="shared" ca="1" si="19"/>
        <v>982.8175499999993</v>
      </c>
      <c r="AI25" s="161">
        <f t="shared" ca="1" si="24"/>
        <v>0</v>
      </c>
      <c r="AJ25" s="161"/>
      <c r="AK25" s="161"/>
      <c r="AL25" s="164">
        <f t="shared" ca="1" si="25"/>
        <v>982.8175499999993</v>
      </c>
    </row>
    <row r="26" spans="1:38" s="113" customFormat="1" ht="15.65" customHeight="1" x14ac:dyDescent="0.25">
      <c r="A26" s="125"/>
      <c r="B26" s="126"/>
      <c r="C26" s="200"/>
      <c r="D26" s="163">
        <f t="shared" si="20"/>
        <v>9</v>
      </c>
      <c r="E26" s="150" t="str">
        <f t="shared" si="20"/>
        <v>september</v>
      </c>
      <c r="F26" s="151">
        <f t="shared" si="20"/>
        <v>46631</v>
      </c>
      <c r="G26" s="151">
        <f t="shared" si="20"/>
        <v>46660</v>
      </c>
      <c r="H26" s="188">
        <f t="shared" si="1"/>
        <v>173</v>
      </c>
      <c r="I26" s="191">
        <f t="shared" si="2"/>
        <v>5016</v>
      </c>
      <c r="J26" s="188">
        <f>IF($E26="","",IF($E27="",SUM(H26:H$30),H26))</f>
        <v>173</v>
      </c>
      <c r="K26" s="191">
        <f>IF($E26="","",IF($E27="",SUM(I26:I$30),I26))</f>
        <v>5016</v>
      </c>
      <c r="L26" s="152">
        <f t="shared" si="3"/>
        <v>40</v>
      </c>
      <c r="M26" s="151">
        <f t="shared" si="4"/>
        <v>46631</v>
      </c>
      <c r="N26" s="151">
        <f t="shared" si="5"/>
        <v>46660</v>
      </c>
      <c r="O26" s="150">
        <f t="shared" si="21"/>
        <v>30</v>
      </c>
      <c r="P26" s="153">
        <f t="shared" si="6"/>
        <v>1</v>
      </c>
      <c r="Q26" s="154">
        <f t="shared" si="7"/>
        <v>8.3333333333333329E-2</v>
      </c>
      <c r="R26" s="155">
        <f t="shared" si="8"/>
        <v>173.33333333333334</v>
      </c>
      <c r="S26" s="156">
        <f t="shared" si="9"/>
        <v>45414</v>
      </c>
      <c r="T26" s="157">
        <f t="shared" si="10"/>
        <v>1557</v>
      </c>
      <c r="U26" s="157">
        <f t="shared" si="11"/>
        <v>1559.9999999999998</v>
      </c>
      <c r="V26" s="158">
        <f t="shared" si="22"/>
        <v>0.99807692307692319</v>
      </c>
      <c r="W26" s="159">
        <f>IF(M26="","",VLOOKUP($B$6,rekenwaarden!M$8:N$12,2))</f>
        <v>9.4499999999999993</v>
      </c>
      <c r="X26" s="160">
        <f t="shared" si="12"/>
        <v>1634.85</v>
      </c>
      <c r="Y26" s="160">
        <f t="shared" si="13"/>
        <v>14713.650000000001</v>
      </c>
      <c r="Z26" s="160">
        <f>IF(M26="","", VLOOKUP(B$6,rekenwaarden!M$8:T$12,3)*Q26)</f>
        <v>6617.4166666666661</v>
      </c>
      <c r="AA26" s="160">
        <f t="shared" si="14"/>
        <v>59556.749999999985</v>
      </c>
      <c r="AB26" s="160">
        <f>IF(M26="","", VLOOKUP($B$6,rekenwaarden!M$8:T$12,4)*Q26)</f>
        <v>11483.333333333332</v>
      </c>
      <c r="AC26" s="160">
        <f t="shared" si="15"/>
        <v>103349.99999999997</v>
      </c>
      <c r="AD26" s="160">
        <f t="shared" si="16"/>
        <v>30700.35</v>
      </c>
      <c r="AE26" s="160">
        <f t="shared" si="17"/>
        <v>3381.1500000000015</v>
      </c>
      <c r="AF26" s="160">
        <f t="shared" si="23"/>
        <v>0</v>
      </c>
      <c r="AG26" s="160">
        <f t="shared" si="18"/>
        <v>0</v>
      </c>
      <c r="AH26" s="161">
        <f t="shared" ca="1" si="19"/>
        <v>1004.2015500000003</v>
      </c>
      <c r="AI26" s="161">
        <f t="shared" ca="1" si="24"/>
        <v>0</v>
      </c>
      <c r="AJ26" s="161"/>
      <c r="AK26" s="161"/>
      <c r="AL26" s="164">
        <f t="shared" ca="1" si="25"/>
        <v>1004.2015500000003</v>
      </c>
    </row>
    <row r="27" spans="1:38" s="113" customFormat="1" ht="15.65" customHeight="1" x14ac:dyDescent="0.25">
      <c r="A27" s="125"/>
      <c r="B27" s="126"/>
      <c r="C27" s="200"/>
      <c r="D27" s="163">
        <f t="shared" si="20"/>
        <v>10</v>
      </c>
      <c r="E27" s="150" t="str">
        <f t="shared" si="20"/>
        <v>oktober</v>
      </c>
      <c r="F27" s="151">
        <f t="shared" si="20"/>
        <v>46661</v>
      </c>
      <c r="G27" s="151">
        <f t="shared" si="20"/>
        <v>46691</v>
      </c>
      <c r="H27" s="189">
        <f t="shared" si="1"/>
        <v>173</v>
      </c>
      <c r="I27" s="192">
        <f t="shared" si="2"/>
        <v>5044</v>
      </c>
      <c r="J27" s="189">
        <f>IF($E27="","",IF($E28="",SUM(H27:H$30),H27))</f>
        <v>173</v>
      </c>
      <c r="K27" s="192">
        <f>IF($E27="","",IF($E28="",SUM(I27:I$30),I27))</f>
        <v>5044</v>
      </c>
      <c r="L27" s="152">
        <f t="shared" si="3"/>
        <v>40</v>
      </c>
      <c r="M27" s="151">
        <f t="shared" si="4"/>
        <v>46661</v>
      </c>
      <c r="N27" s="151">
        <f t="shared" si="5"/>
        <v>46691</v>
      </c>
      <c r="O27" s="150">
        <f t="shared" si="21"/>
        <v>31</v>
      </c>
      <c r="P27" s="153">
        <f t="shared" si="6"/>
        <v>1</v>
      </c>
      <c r="Q27" s="154">
        <f t="shared" si="7"/>
        <v>8.3333333333333329E-2</v>
      </c>
      <c r="R27" s="155">
        <f t="shared" si="8"/>
        <v>173.33333333333334</v>
      </c>
      <c r="S27" s="156">
        <f t="shared" si="9"/>
        <v>50458</v>
      </c>
      <c r="T27" s="157">
        <f t="shared" si="10"/>
        <v>1730</v>
      </c>
      <c r="U27" s="157">
        <f t="shared" si="11"/>
        <v>1733.333333333333</v>
      </c>
      <c r="V27" s="158">
        <f t="shared" si="22"/>
        <v>0.99807692307692331</v>
      </c>
      <c r="W27" s="159">
        <f>IF(M27="","",VLOOKUP($B$6,rekenwaarden!M$8:N$12,2))</f>
        <v>9.4499999999999993</v>
      </c>
      <c r="X27" s="160">
        <f t="shared" si="12"/>
        <v>1634.85</v>
      </c>
      <c r="Y27" s="160">
        <f t="shared" si="13"/>
        <v>16348.500000000002</v>
      </c>
      <c r="Z27" s="160">
        <f>IF(M27="","", VLOOKUP(B$6,rekenwaarden!M$8:T$12,3)*Q27)</f>
        <v>6617.4166666666661</v>
      </c>
      <c r="AA27" s="160">
        <f t="shared" si="14"/>
        <v>66174.166666666657</v>
      </c>
      <c r="AB27" s="160">
        <f>IF(M27="","", VLOOKUP($B$6,rekenwaarden!M$8:T$12,4)*Q27)</f>
        <v>11483.333333333332</v>
      </c>
      <c r="AC27" s="160">
        <f t="shared" si="15"/>
        <v>114833.3333333333</v>
      </c>
      <c r="AD27" s="160">
        <f t="shared" si="16"/>
        <v>34109.5</v>
      </c>
      <c r="AE27" s="160">
        <f t="shared" si="17"/>
        <v>3409.1500000000015</v>
      </c>
      <c r="AF27" s="160">
        <f t="shared" si="23"/>
        <v>0</v>
      </c>
      <c r="AG27" s="160">
        <f t="shared" si="18"/>
        <v>0</v>
      </c>
      <c r="AH27" s="161">
        <f t="shared" ca="1" si="19"/>
        <v>1012.5175500000004</v>
      </c>
      <c r="AI27" s="161">
        <f t="shared" ca="1" si="24"/>
        <v>0</v>
      </c>
      <c r="AJ27" s="161"/>
      <c r="AK27" s="161"/>
      <c r="AL27" s="164">
        <f t="shared" ca="1" si="25"/>
        <v>1012.5175500000004</v>
      </c>
    </row>
    <row r="28" spans="1:38" s="113" customFormat="1" ht="15.65" customHeight="1" x14ac:dyDescent="0.25">
      <c r="A28" s="125"/>
      <c r="B28" s="126"/>
      <c r="C28" s="200"/>
      <c r="D28" s="163">
        <f t="shared" si="20"/>
        <v>11</v>
      </c>
      <c r="E28" s="150" t="str">
        <f t="shared" si="20"/>
        <v>november</v>
      </c>
      <c r="F28" s="151">
        <f t="shared" si="20"/>
        <v>46692</v>
      </c>
      <c r="G28" s="151">
        <f t="shared" si="20"/>
        <v>46721</v>
      </c>
      <c r="H28" s="188">
        <f t="shared" si="1"/>
        <v>173</v>
      </c>
      <c r="I28" s="191">
        <f t="shared" si="2"/>
        <v>5016</v>
      </c>
      <c r="J28" s="188">
        <f>IF($E28="","",IF($E29="",SUM(H28:H$30),H28))</f>
        <v>173</v>
      </c>
      <c r="K28" s="191">
        <f>IF($E28="","",IF($E29="",SUM(I28:I$30),I28))</f>
        <v>5016</v>
      </c>
      <c r="L28" s="152">
        <f t="shared" si="3"/>
        <v>40</v>
      </c>
      <c r="M28" s="151">
        <f t="shared" si="4"/>
        <v>46692</v>
      </c>
      <c r="N28" s="151">
        <f t="shared" si="5"/>
        <v>46721</v>
      </c>
      <c r="O28" s="150">
        <f t="shared" si="21"/>
        <v>30</v>
      </c>
      <c r="P28" s="153">
        <f t="shared" si="6"/>
        <v>1</v>
      </c>
      <c r="Q28" s="154">
        <f t="shared" si="7"/>
        <v>8.3333333333333329E-2</v>
      </c>
      <c r="R28" s="155">
        <f t="shared" si="8"/>
        <v>173.33333333333334</v>
      </c>
      <c r="S28" s="156">
        <f t="shared" si="9"/>
        <v>55474</v>
      </c>
      <c r="T28" s="157">
        <f t="shared" si="10"/>
        <v>1903</v>
      </c>
      <c r="U28" s="157">
        <f t="shared" si="11"/>
        <v>1906.6666666666663</v>
      </c>
      <c r="V28" s="158">
        <f t="shared" si="22"/>
        <v>0.99807692307692331</v>
      </c>
      <c r="W28" s="159">
        <f>IF(M28="","",VLOOKUP($B$6,rekenwaarden!M$8:N$12,2))</f>
        <v>9.4499999999999993</v>
      </c>
      <c r="X28" s="160">
        <f t="shared" si="12"/>
        <v>1634.85</v>
      </c>
      <c r="Y28" s="160">
        <f t="shared" si="13"/>
        <v>17983.350000000002</v>
      </c>
      <c r="Z28" s="160">
        <f>IF(M28="","", VLOOKUP(B$6,rekenwaarden!M$8:T$12,3)*Q28)</f>
        <v>6617.4166666666661</v>
      </c>
      <c r="AA28" s="160">
        <f t="shared" si="14"/>
        <v>72791.583333333328</v>
      </c>
      <c r="AB28" s="160">
        <f>IF(M28="","", VLOOKUP($B$6,rekenwaarden!M$8:T$12,4)*Q28)</f>
        <v>11483.333333333332</v>
      </c>
      <c r="AC28" s="160">
        <f t="shared" si="15"/>
        <v>126316.66666666663</v>
      </c>
      <c r="AD28" s="160">
        <f t="shared" si="16"/>
        <v>37490.649999999994</v>
      </c>
      <c r="AE28" s="160">
        <f t="shared" si="17"/>
        <v>3381.1499999999942</v>
      </c>
      <c r="AF28" s="160">
        <f t="shared" si="23"/>
        <v>0</v>
      </c>
      <c r="AG28" s="160">
        <f t="shared" si="18"/>
        <v>0</v>
      </c>
      <c r="AH28" s="161">
        <f t="shared" ca="1" si="19"/>
        <v>1004.2015499999982</v>
      </c>
      <c r="AI28" s="161">
        <f t="shared" ca="1" si="24"/>
        <v>0</v>
      </c>
      <c r="AJ28" s="161"/>
      <c r="AK28" s="161"/>
      <c r="AL28" s="164">
        <f t="shared" ca="1" si="25"/>
        <v>1004.2015499999982</v>
      </c>
    </row>
    <row r="29" spans="1:38" s="113" customFormat="1" ht="15.65" customHeight="1" x14ac:dyDescent="0.25">
      <c r="A29" s="125"/>
      <c r="B29" s="126"/>
      <c r="C29" s="200"/>
      <c r="D29" s="163">
        <f t="shared" si="20"/>
        <v>12</v>
      </c>
      <c r="E29" s="150" t="str">
        <f t="shared" si="20"/>
        <v>december</v>
      </c>
      <c r="F29" s="151">
        <f t="shared" si="20"/>
        <v>46722</v>
      </c>
      <c r="G29" s="151">
        <f t="shared" si="20"/>
        <v>46752</v>
      </c>
      <c r="H29" s="189">
        <f t="shared" si="1"/>
        <v>173</v>
      </c>
      <c r="I29" s="192">
        <f t="shared" si="2"/>
        <v>4944</v>
      </c>
      <c r="J29" s="189">
        <f>IF($E29="","",IF($E30="",SUM(H29:H$30),H29))</f>
        <v>173</v>
      </c>
      <c r="K29" s="192">
        <f>IF($E29="","",IF($E30="",SUM(I29:I$30),I29))</f>
        <v>4944</v>
      </c>
      <c r="L29" s="152">
        <f t="shared" si="3"/>
        <v>40</v>
      </c>
      <c r="M29" s="151">
        <f t="shared" si="4"/>
        <v>46722</v>
      </c>
      <c r="N29" s="151">
        <f t="shared" si="5"/>
        <v>46752</v>
      </c>
      <c r="O29" s="150">
        <f t="shared" si="21"/>
        <v>31</v>
      </c>
      <c r="P29" s="153">
        <f t="shared" si="6"/>
        <v>1</v>
      </c>
      <c r="Q29" s="154">
        <f t="shared" si="7"/>
        <v>8.3333333333333329E-2</v>
      </c>
      <c r="R29" s="155">
        <f t="shared" si="8"/>
        <v>173.33333333333334</v>
      </c>
      <c r="S29" s="156">
        <f t="shared" si="9"/>
        <v>60418</v>
      </c>
      <c r="T29" s="157">
        <f t="shared" si="10"/>
        <v>2076</v>
      </c>
      <c r="U29" s="157">
        <f t="shared" si="11"/>
        <v>2079.9999999999995</v>
      </c>
      <c r="V29" s="158">
        <f t="shared" si="22"/>
        <v>0.99807692307692331</v>
      </c>
      <c r="W29" s="159">
        <f>IF(M29="","",VLOOKUP($B$6,rekenwaarden!M$8:N$12,2))</f>
        <v>9.4499999999999993</v>
      </c>
      <c r="X29" s="160">
        <f t="shared" si="12"/>
        <v>1634.85</v>
      </c>
      <c r="Y29" s="160">
        <f t="shared" si="13"/>
        <v>19618.2</v>
      </c>
      <c r="Z29" s="160">
        <f>IF(M29="","", VLOOKUP(B$6,rekenwaarden!M$8:T$12,3)*Q29)</f>
        <v>6617.4166666666661</v>
      </c>
      <c r="AA29" s="160">
        <f t="shared" si="14"/>
        <v>79409</v>
      </c>
      <c r="AB29" s="160">
        <f>IF(M29="","", VLOOKUP($B$6,rekenwaarden!M$8:T$12,4)*Q29)</f>
        <v>11483.333333333332</v>
      </c>
      <c r="AC29" s="160">
        <f t="shared" si="15"/>
        <v>137799.99999999997</v>
      </c>
      <c r="AD29" s="160">
        <f t="shared" si="16"/>
        <v>40799.800000000003</v>
      </c>
      <c r="AE29" s="160">
        <f t="shared" si="17"/>
        <v>3309.1500000000087</v>
      </c>
      <c r="AF29" s="160">
        <f t="shared" si="23"/>
        <v>0</v>
      </c>
      <c r="AG29" s="160">
        <f t="shared" si="18"/>
        <v>0</v>
      </c>
      <c r="AH29" s="161">
        <f t="shared" ca="1" si="19"/>
        <v>982.8175500000026</v>
      </c>
      <c r="AI29" s="161">
        <f t="shared" ca="1" si="24"/>
        <v>0</v>
      </c>
      <c r="AJ29" s="161"/>
      <c r="AK29" s="161"/>
      <c r="AL29" s="164">
        <f t="shared" ca="1" si="25"/>
        <v>982.8175500000026</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sheetData>
  <sheetProtection algorithmName="SHA-512" hashValue="NInJF+tGwVpHp+GYn5SRwsX8cXm/igmUR15FziA20tPKMLrTF5vugFyX+B6yBd8+0DZ+wUkcAesIopvVSc1vvg==" saltValue="yw8MAJ+qjz9RfBSlKg5LtQ==" spinCount="100000" sheet="1" objects="1" scenarios="1"/>
  <protectedRanges>
    <protectedRange sqref="K2:U14" name="Loonaangiftebericht"/>
    <protectedRange sqref="B1:B9" name="Persoon en IKV"/>
  </protectedRanges>
  <mergeCells count="3">
    <mergeCell ref="A11:B11"/>
    <mergeCell ref="A12:B25"/>
    <mergeCell ref="D17:E17"/>
  </mergeCells>
  <dataValidations count="8">
    <dataValidation type="list" allowBlank="1" showInputMessage="1" showErrorMessage="1" sqref="B2" xr:uid="{7A0ECE26-7052-4405-A7FE-79EE76530EE1}">
      <formula1>"Maandelijks,Vierwekelijks"</formula1>
    </dataValidation>
    <dataValidation type="list" allowBlank="1" showInputMessage="1" showErrorMessage="1" sqref="B8:C8" xr:uid="{101E1D84-42E5-4410-8905-7D0706E9013A}">
      <formula1>"WAAR,NIET WAAR"</formula1>
    </dataValidation>
    <dataValidation type="list" allowBlank="1" showInputMessage="1" showErrorMessage="1" sqref="B1:C1" xr:uid="{1FFA9712-EF08-45E2-A3E6-1AD82CC3B965}">
      <formula1>"2027,2028"</formula1>
    </dataValidation>
    <dataValidation type="list" allowBlank="1" showInputMessage="1" showErrorMessage="1" sqref="C2" xr:uid="{0A3CB70C-567D-4458-8E91-966264CC2977}">
      <formula1>"maandelijks,vierwekelijks"</formula1>
    </dataValidation>
    <dataValidation type="list" allowBlank="1" showInputMessage="1" showErrorMessage="1" sqref="L2:L14" xr:uid="{B001F8C9-3EED-4A44-907C-49013DEF3D28}">
      <formula1>Code_Soort_IKV</formula1>
    </dataValidation>
    <dataValidation type="list" allowBlank="1" showInputMessage="1" showErrorMessage="1" sqref="M2:M14" xr:uid="{825BAE85-89BE-4E07-9927-1A52160ECB52}">
      <formula1>Code_Aard_Arbeidsverhouding</formula1>
    </dataValidation>
    <dataValidation type="list" allowBlank="1" showInputMessage="1" showErrorMessage="1" sqref="K2:K14" xr:uid="{87FC7DB5-D4B6-4176-A242-F2E7919CD6D6}">
      <formula1>Code_Reden_Einde_Arbeidsverhouding</formula1>
    </dataValidation>
    <dataValidation type="whole" allowBlank="1" showInputMessage="1" showErrorMessage="1" promptTitle="Handboek Loonheffingen: " prompt="Rekenkundig afgeronde hele uren" sqref="N2:N14" xr:uid="{B635D82F-E0B8-408F-878B-90E8094B995A}">
      <formula1>-999</formula1>
      <formula2>999</formula2>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802764B3-1366-4760-98BF-A1A768602872}">
          <x14:formula1>
            <xm:f>rekenwaarden!$M$8:$M$12</xm:f>
          </x14:formula1>
          <xm:sqref>B6:C6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46A48-6641-4D66-B3DF-38A6744E17CE}">
  <sheetPr>
    <tabColor theme="4" tint="0.79998168889431442"/>
  </sheetPr>
  <dimension ref="A1:AL30"/>
  <sheetViews>
    <sheetView showGridLines="0" zoomScale="90" zoomScaleNormal="90" workbookViewId="0">
      <pane xSplit="2" ySplit="30" topLeftCell="C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179687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8.1796875" customWidth="1"/>
    <col min="22" max="33" width="15.81640625" customWidth="1"/>
    <col min="34" max="34" width="19.453125" bestFit="1" customWidth="1"/>
    <col min="35" max="35" width="20.453125" customWidth="1"/>
    <col min="36" max="36" width="12.81640625" bestFit="1"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210" t="s">
        <v>18</v>
      </c>
      <c r="W1" s="211" t="s">
        <v>71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IF(OR(Datum_Einde_IKV="",Tabel1353[[#This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IF(Tabel1353[[#This Row],[Inkomsten-periode]]="","",DATEDIF(Geboortedatum,Tabel1353[[#This Row],[DatEindTv]],"Y"))</f>
        <v>56</v>
      </c>
      <c r="I2" s="146">
        <f>IF(Tabel1353[[#This Row],[Inkomsten-periode]]="","",IF(Datum_Aanvang_IKV="","",Datum_Aanvang_IKV))</f>
        <v>46143</v>
      </c>
      <c r="J2" s="146" t="str">
        <f>IF(Tabel1353[[#This Row],[Inkomsten-periode]]="","",IF(Datum_Einde_IKV="","",IF(Datum_Einde_IKV&lt;=Tabel1353[[#This Row],[DatEindTv]],Datum_Einde_IKV,"")))</f>
        <v/>
      </c>
      <c r="K2" s="138"/>
      <c r="L2" s="138">
        <v>15</v>
      </c>
      <c r="M2" s="138">
        <v>1</v>
      </c>
      <c r="N2" s="139">
        <v>173</v>
      </c>
      <c r="O2" s="140">
        <v>4000</v>
      </c>
      <c r="P2" s="140">
        <v>0</v>
      </c>
      <c r="Q2" s="140">
        <v>320</v>
      </c>
      <c r="R2" s="140">
        <v>0</v>
      </c>
      <c r="S2" s="140">
        <v>300</v>
      </c>
      <c r="T2" s="140">
        <v>4000</v>
      </c>
      <c r="U2" s="140"/>
      <c r="V2" s="184">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Row],[OpnAvwb]],0))))</f>
        <v>4620</v>
      </c>
      <c r="W2" s="185">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Row],[AantVerlU]],0))))</f>
        <v>173</v>
      </c>
      <c r="X2" s="184" t="str">
        <f>IF(Tabel1353[[#This Row],[Inkomsten-periode]]="",IF(Tabel1353[[#This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f>
        <v/>
      </c>
      <c r="Y2" s="185" t="str">
        <f>IF(Tabel1353[[#This Row],[Inkomsten-periode]]="",IF(Tabel1353[[#This Row],[CdRdnEindArbov]]=33,0,IF(AND(OR(Tabel1353[[#This Row],[SrtIV]]=13,Tabel1353[[#This Row],[SrtIV]]=15,Tabel1353[[#This Row],[SrtIV]]=31),OR(Tabel1353[[#This Row],[CdAard]]=1,Tabel1353[[#This Row],[CdAard]]=11,Tabel1353[[#This Row],[CdAard]]=82,Tabel1353[[#This Row],[CdAard]]=83)),Tabel1353[[#This Row],[AantVerlU]],"")),"")</f>
        <v/>
      </c>
    </row>
    <row r="3" spans="1:38" s="113" customFormat="1" ht="16.399999999999999" customHeight="1" x14ac:dyDescent="0.25">
      <c r="A3" s="122" t="s">
        <v>21</v>
      </c>
      <c r="B3" s="133">
        <v>25785</v>
      </c>
      <c r="C3" s="202"/>
      <c r="D3" s="145">
        <f>IF(OR(Datum_Einde_IKV&gt;G2,Datum_Einde_IKV=""),IF(AND($B$2="Maandelijks", COUNTIF($D$1:D2, 12)=1), "",IF(OR(AND($B$2="Maandelijks", D2=12),AND($B$2="Vierwekelijks", D2=13), D2 = "Periode"), 1, D2+1)),"")</f>
        <v>2</v>
      </c>
      <c r="E3" s="145" t="str">
        <f>IF(OR(Datum_Einde_IKV="",Tabel1353[[#This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IF(Tabel1353[[#This Row],[Inkomsten-periode]]="","",DATEDIF(Geboortedatum,Tabel1353[[#This Row],[DatEindTv]],"Y"))</f>
        <v>56</v>
      </c>
      <c r="I3" s="146">
        <f>IF(Tabel1353[[#This Row],[Inkomsten-periode]]="","",IF(Datum_Aanvang_IKV="","",Datum_Aanvang_IKV))</f>
        <v>46143</v>
      </c>
      <c r="J3" s="146" t="str">
        <f>IF(Tabel1353[[#This Row],[Inkomsten-periode]]="","",IF(Datum_Einde_IKV="","",IF(Datum_Einde_IKV&lt;=Tabel1353[[#This Row],[DatEindTv]],Datum_Einde_IKV,"")))</f>
        <v/>
      </c>
      <c r="K3" s="141"/>
      <c r="L3" s="141">
        <v>15</v>
      </c>
      <c r="M3" s="141">
        <v>1</v>
      </c>
      <c r="N3" s="142">
        <v>173</v>
      </c>
      <c r="O3" s="143">
        <v>4000</v>
      </c>
      <c r="P3" s="143">
        <v>0</v>
      </c>
      <c r="Q3" s="143">
        <v>320</v>
      </c>
      <c r="R3" s="143">
        <v>0</v>
      </c>
      <c r="S3" s="143">
        <v>300</v>
      </c>
      <c r="T3" s="143">
        <v>4000</v>
      </c>
      <c r="U3" s="143"/>
      <c r="V3" s="184">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Row],[OpnAvwb]],0))))</f>
        <v>4620</v>
      </c>
      <c r="W3" s="186">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Row],[AantVerlU]],0))))</f>
        <v>173</v>
      </c>
      <c r="X3" s="184" t="str">
        <f>IF(Tabel1353[[#This Row],[Inkomsten-periode]]="",IF(Tabel1353[[#This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f>
        <v/>
      </c>
      <c r="Y3" s="186" t="str">
        <f>IF(Tabel1353[[#This Row],[Inkomsten-periode]]="",IF(Tabel1353[[#This Row],[CdRdnEindArbov]]=33,0,IF(AND(OR(Tabel1353[[#This Row],[SrtIV]]=13,Tabel1353[[#This Row],[SrtIV]]=15,Tabel1353[[#This Row],[SrtIV]]=31),OR(Tabel1353[[#This Row],[CdAard]]=1,Tabel1353[[#This Row],[CdAard]]=11,Tabel1353[[#This Row],[CdAard]]=82,Tabel1353[[#This Row],[CdAard]]=83)),Tabel1353[[#This Row],[AantVerlU]],"")),"")</f>
        <v/>
      </c>
    </row>
    <row r="4" spans="1:38" s="113" customFormat="1" ht="16.399999999999999" customHeight="1" x14ac:dyDescent="0.25">
      <c r="A4" s="122" t="s">
        <v>22</v>
      </c>
      <c r="B4" s="134">
        <v>46143</v>
      </c>
      <c r="C4" s="202"/>
      <c r="D4" s="144">
        <f>IF(OR(Datum_Einde_IKV&gt;G3,Datum_Einde_IKV=""),IF(AND($B$2="Maandelijks", COUNTIF($D$1:D3, 12)=1), "",IF(OR(AND($B$2="Maandelijks", D3=12),AND($B$2="Vierwekelijks", D3=13), D3 = "Periode"), 1, D3+1)),"")</f>
        <v>3</v>
      </c>
      <c r="E4" s="145" t="str">
        <f>IF(OR(Datum_Einde_IKV="",Tabel1353[[#This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IF(Tabel1353[[#This Row],[Inkomsten-periode]]="","",DATEDIF(Geboortedatum,Tabel1353[[#This Row],[DatEindTv]],"Y"))</f>
        <v>56</v>
      </c>
      <c r="I4" s="146">
        <f>IF(Tabel1353[[#This Row],[Inkomsten-periode]]="","",IF(Datum_Aanvang_IKV="","",Datum_Aanvang_IKV))</f>
        <v>46143</v>
      </c>
      <c r="J4" s="146" t="str">
        <f>IF(Tabel1353[[#This Row],[Inkomsten-periode]]="","",IF(Datum_Einde_IKV="","",IF(Datum_Einde_IKV&lt;=Tabel1353[[#This Row],[DatEindTv]],Datum_Einde_IKV,"")))</f>
        <v/>
      </c>
      <c r="K4" s="138"/>
      <c r="L4" s="138">
        <v>15</v>
      </c>
      <c r="M4" s="138">
        <v>1</v>
      </c>
      <c r="N4" s="139">
        <v>173</v>
      </c>
      <c r="O4" s="140">
        <v>4000</v>
      </c>
      <c r="P4" s="140">
        <v>0</v>
      </c>
      <c r="Q4" s="140">
        <v>320</v>
      </c>
      <c r="R4" s="140">
        <v>0</v>
      </c>
      <c r="S4" s="140">
        <v>300</v>
      </c>
      <c r="T4" s="140">
        <v>4000</v>
      </c>
      <c r="U4" s="140"/>
      <c r="V4" s="184">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Row],[OpnAvwb]],0))))</f>
        <v>4620</v>
      </c>
      <c r="W4" s="186">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Row],[AantVerlU]],0))))</f>
        <v>173</v>
      </c>
      <c r="X4" s="184" t="str">
        <f>IF(Tabel1353[[#This Row],[Inkomsten-periode]]="",IF(Tabel1353[[#This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f>
        <v/>
      </c>
      <c r="Y4" s="186" t="str">
        <f>IF(Tabel1353[[#This Row],[Inkomsten-periode]]="",IF(Tabel1353[[#This Row],[CdRdnEindArbov]]=33,0,IF(AND(OR(Tabel1353[[#This Row],[SrtIV]]=13,Tabel1353[[#This Row],[SrtIV]]=15,Tabel1353[[#This Row],[SrtIV]]=31),OR(Tabel1353[[#This Row],[CdAard]]=1,Tabel1353[[#This Row],[CdAard]]=11,Tabel1353[[#This Row],[CdAard]]=82,Tabel1353[[#This Row],[CdAard]]=83)),Tabel1353[[#This Row],[AantVerlU]],"")),"")</f>
        <v/>
      </c>
    </row>
    <row r="5" spans="1:38" s="113" customFormat="1" ht="16.399999999999999" customHeight="1" x14ac:dyDescent="0.25">
      <c r="A5" s="122" t="s">
        <v>23</v>
      </c>
      <c r="B5" s="133">
        <v>46630</v>
      </c>
      <c r="C5" s="202"/>
      <c r="D5" s="145">
        <f>IF(OR(Datum_Einde_IKV&gt;G4,Datum_Einde_IKV=""),IF(AND($B$2="Maandelijks", COUNTIF($D$1:D4, 12)=1), "",IF(OR(AND($B$2="Maandelijks", D4=12),AND($B$2="Vierwekelijks", D4=13), D4 = "Periode"), 1, D4+1)),"")</f>
        <v>4</v>
      </c>
      <c r="E5" s="145" t="str">
        <f>IF(OR(Datum_Einde_IKV="",Tabel1353[[#This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IF(Tabel1353[[#This Row],[Inkomsten-periode]]="","",DATEDIF(Geboortedatum,Tabel1353[[#This Row],[DatEindTv]],"Y"))</f>
        <v>56</v>
      </c>
      <c r="I5" s="146">
        <f>IF(Tabel1353[[#This Row],[Inkomsten-periode]]="","",IF(Datum_Aanvang_IKV="","",Datum_Aanvang_IKV))</f>
        <v>46143</v>
      </c>
      <c r="J5" s="146" t="str">
        <f>IF(Tabel1353[[#This Row],[Inkomsten-periode]]="","",IF(Datum_Einde_IKV="","",IF(Datum_Einde_IKV&lt;=Tabel1353[[#This Row],[DatEindTv]],Datum_Einde_IKV,"")))</f>
        <v/>
      </c>
      <c r="K5" s="141"/>
      <c r="L5" s="141">
        <v>15</v>
      </c>
      <c r="M5" s="141">
        <v>1</v>
      </c>
      <c r="N5" s="142">
        <v>173</v>
      </c>
      <c r="O5" s="143">
        <v>4000</v>
      </c>
      <c r="P5" s="143">
        <v>0</v>
      </c>
      <c r="Q5" s="143">
        <v>320</v>
      </c>
      <c r="R5" s="143">
        <v>0</v>
      </c>
      <c r="S5" s="143">
        <v>300</v>
      </c>
      <c r="T5" s="143">
        <v>4000</v>
      </c>
      <c r="U5" s="143"/>
      <c r="V5" s="184">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Row],[OpnAvwb]],0))))</f>
        <v>4620</v>
      </c>
      <c r="W5" s="186">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Row],[AantVerlU]],0))))</f>
        <v>173</v>
      </c>
      <c r="X5" s="184" t="str">
        <f>IF(Tabel1353[[#This Row],[Inkomsten-periode]]="",IF(Tabel1353[[#This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f>
        <v/>
      </c>
      <c r="Y5" s="186" t="str">
        <f>IF(Tabel1353[[#This Row],[Inkomsten-periode]]="",IF(Tabel1353[[#This Row],[CdRdnEindArbov]]=33,0,IF(AND(OR(Tabel1353[[#This Row],[SrtIV]]=13,Tabel1353[[#This Row],[SrtIV]]=15,Tabel1353[[#This Row],[SrtIV]]=31),OR(Tabel1353[[#This Row],[CdAard]]=1,Tabel1353[[#This Row],[CdAard]]=11,Tabel1353[[#This Row],[CdAard]]=82,Tabel1353[[#This Row],[CdAard]]=83)),Tabel1353[[#This Row],[AantVerlU]],"")),"")</f>
        <v/>
      </c>
    </row>
    <row r="6" spans="1:38" s="113" customFormat="1" ht="16.399999999999999" customHeight="1" x14ac:dyDescent="0.25">
      <c r="A6" s="122" t="s">
        <v>24</v>
      </c>
      <c r="B6" s="135" t="s">
        <v>172</v>
      </c>
      <c r="C6" s="203"/>
      <c r="D6" s="144">
        <f>IF(OR(Datum_Einde_IKV&gt;G5,Datum_Einde_IKV=""),IF(AND($B$2="Maandelijks", COUNTIF($D$1:D5, 12)=1), "",IF(OR(AND($B$2="Maandelijks", D5=12),AND($B$2="Vierwekelijks", D5=13), D5 = "Periode"), 1, D5+1)),"")</f>
        <v>5</v>
      </c>
      <c r="E6" s="145" t="str">
        <f>IF(OR(Datum_Einde_IKV="",Tabel1353[[#This Row],[DatAanvTv]]&lt;Datum_Einde_IKV),IF(E5="december","",IF(Verloningsperiodiciteit="maandelijks",rekenwaarden!F7,_xlfn.CONCAT("Periode ",rekenwaarden!E7))),"")</f>
        <v>mei</v>
      </c>
      <c r="F6" s="146">
        <f t="shared" si="0"/>
        <v>46508</v>
      </c>
      <c r="G6" s="146">
        <f>IF(F6="", "", IF(Verloningsperiodiciteit="Vierwekelijks", _xlfn.XLOOKUP(F6,rekenwaarden!$C$3:$C$54,rekenwaarden!$D$3:$D$54,"niet gevonden",-1), _xlfn.XLOOKUP(F6,rekenwaarden!$I$3:$I$54,rekenwaarden!$J$3:$J$54,"niet gevonden",-1)))</f>
        <v>46538</v>
      </c>
      <c r="H6" s="147">
        <f>IF(Tabel1353[[#This Row],[Inkomsten-periode]]="","",DATEDIF(Geboortedatum,Tabel1353[[#This Row],[DatEindTv]],"Y"))</f>
        <v>56</v>
      </c>
      <c r="I6" s="146">
        <f>IF(Tabel1353[[#This Row],[Inkomsten-periode]]="","",IF(Datum_Aanvang_IKV="","",Datum_Aanvang_IKV))</f>
        <v>46143</v>
      </c>
      <c r="J6" s="146" t="str">
        <f>IF(Tabel1353[[#This Row],[Inkomsten-periode]]="","",IF(Datum_Einde_IKV="","",IF(Datum_Einde_IKV&lt;=Tabel1353[[#This Row],[DatEindTv]],Datum_Einde_IKV,"")))</f>
        <v/>
      </c>
      <c r="K6" s="138"/>
      <c r="L6" s="138">
        <v>15</v>
      </c>
      <c r="M6" s="138">
        <v>1</v>
      </c>
      <c r="N6" s="139">
        <v>173</v>
      </c>
      <c r="O6" s="140">
        <v>8800</v>
      </c>
      <c r="P6" s="140">
        <v>3800</v>
      </c>
      <c r="Q6" s="140">
        <v>320</v>
      </c>
      <c r="R6" s="140">
        <v>1000</v>
      </c>
      <c r="S6" s="140">
        <v>300</v>
      </c>
      <c r="T6" s="140">
        <v>8800</v>
      </c>
      <c r="U6" s="140"/>
      <c r="V6" s="184">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Row],[OpnAvwb]],0))))</f>
        <v>4620</v>
      </c>
      <c r="W6" s="186">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Row],[AantVerlU]],0))))</f>
        <v>173</v>
      </c>
      <c r="X6" s="184" t="str">
        <f>IF(Tabel1353[[#This Row],[Inkomsten-periode]]="",IF(Tabel1353[[#This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f>
        <v/>
      </c>
      <c r="Y6" s="186" t="str">
        <f>IF(Tabel1353[[#This Row],[Inkomsten-periode]]="",IF(Tabel1353[[#This Row],[CdRdnEindArbov]]=33,0,IF(AND(OR(Tabel1353[[#This Row],[SrtIV]]=13,Tabel1353[[#This Row],[SrtIV]]=15,Tabel1353[[#This Row],[SrtIV]]=31),OR(Tabel1353[[#This Row],[CdAard]]=1,Tabel1353[[#This Row],[CdAard]]=11,Tabel1353[[#This Row],[CdAard]]=82,Tabel1353[[#This Row],[CdAard]]=83)),Tabel1353[[#This Row],[AantVerlU]],"")),"")</f>
        <v/>
      </c>
    </row>
    <row r="7" spans="1:38" s="113" customFormat="1" ht="16.399999999999999" customHeight="1" x14ac:dyDescent="0.25">
      <c r="A7" s="122" t="s">
        <v>26</v>
      </c>
      <c r="B7" s="136">
        <f>VLOOKUP(B6,rekenwaarden!M8:T12,8)</f>
        <v>40</v>
      </c>
      <c r="C7" s="204"/>
      <c r="D7" s="145">
        <f>IF(OR(Datum_Einde_IKV&gt;G6,Datum_Einde_IKV=""),IF(AND($B$2="Maandelijks", COUNTIF($D$1:D6, 12)=1), "",IF(OR(AND($B$2="Maandelijks", D6=12),AND($B$2="Vierwekelijks", D6=13), D6 = "Periode"), 1, D6+1)),"")</f>
        <v>6</v>
      </c>
      <c r="E7" s="145" t="str">
        <f>IF(OR(Datum_Einde_IKV="",Tabel1353[[#This Row],[DatAanvTv]]&lt;Datum_Einde_IKV),IF(E6="december","",IF(Verloningsperiodiciteit="maandelijks",rekenwaarden!F8,_xlfn.CONCAT("Periode ",rekenwaarden!E8))),"")</f>
        <v>juni</v>
      </c>
      <c r="F7" s="146">
        <f t="shared" si="0"/>
        <v>46539</v>
      </c>
      <c r="G7" s="146">
        <f>IF(F7="", "", IF(Verloningsperiodiciteit="Vierwekelijks", _xlfn.XLOOKUP(F7,rekenwaarden!$C$3:$C$54,rekenwaarden!$D$3:$D$54,"niet gevonden",-1), _xlfn.XLOOKUP(F7,rekenwaarden!$I$3:$I$54,rekenwaarden!$J$3:$J$54,"niet gevonden",-1)))</f>
        <v>46568</v>
      </c>
      <c r="H7" s="147">
        <f>IF(Tabel1353[[#This Row],[Inkomsten-periode]]="","",DATEDIF(Geboortedatum,Tabel1353[[#This Row],[DatEindTv]],"Y"))</f>
        <v>56</v>
      </c>
      <c r="I7" s="146">
        <f>IF(Tabel1353[[#This Row],[Inkomsten-periode]]="","",IF(Datum_Aanvang_IKV="","",Datum_Aanvang_IKV))</f>
        <v>46143</v>
      </c>
      <c r="J7" s="146" t="str">
        <f>IF(Tabel1353[[#This Row],[Inkomsten-periode]]="","",IF(Datum_Einde_IKV="","",IF(Datum_Einde_IKV&lt;=Tabel1353[[#This Row],[DatEindTv]],Datum_Einde_IKV,"")))</f>
        <v/>
      </c>
      <c r="K7" s="141"/>
      <c r="L7" s="141">
        <v>15</v>
      </c>
      <c r="M7" s="141">
        <v>1</v>
      </c>
      <c r="N7" s="142">
        <v>173</v>
      </c>
      <c r="O7" s="143">
        <v>4000</v>
      </c>
      <c r="P7" s="143">
        <v>0</v>
      </c>
      <c r="Q7" s="143">
        <v>320</v>
      </c>
      <c r="R7" s="143">
        <v>0</v>
      </c>
      <c r="S7" s="143">
        <v>300</v>
      </c>
      <c r="T7" s="143">
        <v>4000</v>
      </c>
      <c r="U7" s="143"/>
      <c r="V7" s="184">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Row],[OpnAvwb]],0))))</f>
        <v>4620</v>
      </c>
      <c r="W7" s="186">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Row],[AantVerlU]],0))))</f>
        <v>173</v>
      </c>
      <c r="X7" s="184" t="str">
        <f>IF(Tabel1353[[#This Row],[Inkomsten-periode]]="",IF(Tabel1353[[#This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f>
        <v/>
      </c>
      <c r="Y7" s="186" t="str">
        <f>IF(Tabel1353[[#This Row],[Inkomsten-periode]]="",IF(Tabel1353[[#This Row],[CdRdnEindArbov]]=33,0,IF(AND(OR(Tabel1353[[#This Row],[SrtIV]]=13,Tabel1353[[#This Row],[SrtIV]]=15,Tabel1353[[#This Row],[SrtIV]]=31),OR(Tabel1353[[#This Row],[CdAard]]=1,Tabel1353[[#This Row],[CdAard]]=11,Tabel1353[[#This Row],[CdAard]]=82,Tabel1353[[#This Row],[CdAard]]=83)),Tabel1353[[#This Row],[AantVerlU]],"")),"")</f>
        <v/>
      </c>
    </row>
    <row r="8" spans="1:38" s="113" customFormat="1" ht="16.399999999999999" customHeight="1" x14ac:dyDescent="0.25">
      <c r="A8" s="122" t="s">
        <v>27</v>
      </c>
      <c r="B8" s="137" t="b">
        <v>1</v>
      </c>
      <c r="C8" s="202"/>
      <c r="D8" s="144">
        <f>IF(OR(Datum_Einde_IKV&gt;G7,Datum_Einde_IKV=""),IF(AND($B$2="Maandelijks", COUNTIF($D$1:D7, 12)=1), "",IF(OR(AND($B$2="Maandelijks", D7=12),AND($B$2="Vierwekelijks", D7=13), D7 = "Periode"), 1, D7+1)),"")</f>
        <v>7</v>
      </c>
      <c r="E8" s="145" t="str">
        <f>IF(OR(Datum_Einde_IKV="",Tabel1353[[#This Row],[DatAanvTv]]&lt;Datum_Einde_IKV),IF(E7="december","",IF(Verloningsperiodiciteit="maandelijks",rekenwaarden!F9,_xlfn.CONCAT("Periode ",rekenwaarden!E9))),"")</f>
        <v>juli</v>
      </c>
      <c r="F8" s="146">
        <f t="shared" si="0"/>
        <v>46569</v>
      </c>
      <c r="G8" s="146">
        <f>IF(F8="", "", IF(Verloningsperiodiciteit="Vierwekelijks", _xlfn.XLOOKUP(F8,rekenwaarden!$C$3:$C$54,rekenwaarden!$D$3:$D$54,"niet gevonden",-1), _xlfn.XLOOKUP(F8,rekenwaarden!$I$3:$I$54,rekenwaarden!$J$3:$J$54,"niet gevonden",-1)))</f>
        <v>46599</v>
      </c>
      <c r="H8" s="147">
        <f>IF(Tabel1353[[#This Row],[Inkomsten-periode]]="","",DATEDIF(Geboortedatum,Tabel1353[[#This Row],[DatEindTv]],"Y"))</f>
        <v>56</v>
      </c>
      <c r="I8" s="146">
        <f>IF(Tabel1353[[#This Row],[Inkomsten-periode]]="","",IF(Datum_Aanvang_IKV="","",Datum_Aanvang_IKV))</f>
        <v>46143</v>
      </c>
      <c r="J8" s="146" t="str">
        <f>IF(Tabel1353[[#This Row],[Inkomsten-periode]]="","",IF(Datum_Einde_IKV="","",IF(Datum_Einde_IKV&lt;=Tabel1353[[#This Row],[DatEindTv]],Datum_Einde_IKV,"")))</f>
        <v/>
      </c>
      <c r="K8" s="138"/>
      <c r="L8" s="138">
        <v>15</v>
      </c>
      <c r="M8" s="138">
        <v>1</v>
      </c>
      <c r="N8" s="139">
        <f>173+40</f>
        <v>213</v>
      </c>
      <c r="O8" s="140">
        <f>4000+40*24</f>
        <v>4960</v>
      </c>
      <c r="P8" s="140">
        <v>0</v>
      </c>
      <c r="Q8" s="140">
        <v>320</v>
      </c>
      <c r="R8" s="140">
        <v>0</v>
      </c>
      <c r="S8" s="140">
        <v>300</v>
      </c>
      <c r="T8" s="140">
        <v>4960</v>
      </c>
      <c r="U8" s="140"/>
      <c r="V8" s="184">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Row],[OpnAvwb]],0))))</f>
        <v>5580</v>
      </c>
      <c r="W8" s="186">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Row],[AantVerlU]],0))))</f>
        <v>213</v>
      </c>
      <c r="X8" s="184" t="str">
        <f>IF(Tabel1353[[#This Row],[Inkomsten-periode]]="",IF(Tabel1353[[#This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f>
        <v/>
      </c>
      <c r="Y8" s="186" t="str">
        <f>IF(Tabel1353[[#This Row],[Inkomsten-periode]]="",IF(Tabel1353[[#This Row],[CdRdnEindArbov]]=33,0,IF(AND(OR(Tabel1353[[#This Row],[SrtIV]]=13,Tabel1353[[#This Row],[SrtIV]]=15,Tabel1353[[#This Row],[SrtIV]]=31),OR(Tabel1353[[#This Row],[CdAard]]=1,Tabel1353[[#This Row],[CdAard]]=11,Tabel1353[[#This Row],[CdAard]]=82,Tabel1353[[#This Row],[CdAard]]=83)),Tabel1353[[#This Row],[AantVerlU]],"")),"")</f>
        <v/>
      </c>
    </row>
    <row r="9" spans="1:38" s="113" customFormat="1" ht="16.399999999999999" customHeight="1" x14ac:dyDescent="0.25">
      <c r="A9" s="122"/>
      <c r="B9" s="131"/>
      <c r="C9" s="200"/>
      <c r="D9" s="145">
        <f>IF(OR(Datum_Einde_IKV&gt;G8,Datum_Einde_IKV=""),IF(AND($B$2="Maandelijks", COUNTIF($D$1:D8, 12)=1), "",IF(OR(AND($B$2="Maandelijks", D8=12),AND($B$2="Vierwekelijks", D8=13), D8 = "Periode"), 1, D8+1)),"")</f>
        <v>8</v>
      </c>
      <c r="E9" s="145" t="str">
        <f>IF(OR(Datum_Einde_IKV="",Tabel1353[[#This Row],[DatAanvTv]]&lt;Datum_Einde_IKV),IF(E8="december","",IF(Verloningsperiodiciteit="maandelijks",rekenwaarden!F10,_xlfn.CONCAT("Periode ",rekenwaarden!E10))),"")</f>
        <v>augustus</v>
      </c>
      <c r="F9" s="146">
        <f t="shared" si="0"/>
        <v>46600</v>
      </c>
      <c r="G9" s="146">
        <f>IF(F9="", "", IF(Verloningsperiodiciteit="Vierwekelijks", _xlfn.XLOOKUP(F9,rekenwaarden!$C$3:$C$54,rekenwaarden!$D$3:$D$54,"niet gevonden",-1), _xlfn.XLOOKUP(F9,rekenwaarden!$I$3:$I$54,rekenwaarden!$J$3:$J$54,"niet gevonden",-1)))</f>
        <v>46630</v>
      </c>
      <c r="H9" s="147">
        <f>IF(Tabel1353[[#This Row],[Inkomsten-periode]]="","",DATEDIF(Geboortedatum,Tabel1353[[#This Row],[DatEindTv]],"Y"))</f>
        <v>57</v>
      </c>
      <c r="I9" s="146">
        <f>IF(Tabel1353[[#This Row],[Inkomsten-periode]]="","",IF(Datum_Aanvang_IKV="","",Datum_Aanvang_IKV))</f>
        <v>46143</v>
      </c>
      <c r="J9" s="146">
        <f>IF(Tabel1353[[#This Row],[Inkomsten-periode]]="","",IF(Datum_Einde_IKV="","",IF(Datum_Einde_IKV&lt;=Tabel1353[[#This Row],[DatEindTv]],Datum_Einde_IKV,"")))</f>
        <v>46630</v>
      </c>
      <c r="K9" s="141">
        <v>20</v>
      </c>
      <c r="L9" s="141">
        <v>15</v>
      </c>
      <c r="M9" s="141">
        <v>1</v>
      </c>
      <c r="N9" s="142">
        <v>173</v>
      </c>
      <c r="O9" s="143">
        <v>4000</v>
      </c>
      <c r="P9" s="143">
        <v>0</v>
      </c>
      <c r="Q9" s="143">
        <v>320</v>
      </c>
      <c r="R9" s="143">
        <v>0</v>
      </c>
      <c r="S9" s="143">
        <v>300</v>
      </c>
      <c r="T9" s="143">
        <v>4000</v>
      </c>
      <c r="U9" s="143"/>
      <c r="V9" s="184">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Row],[OpnAvwb]],0))))</f>
        <v>4620</v>
      </c>
      <c r="W9" s="186">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Row],[AantVerlU]],0))))</f>
        <v>173</v>
      </c>
      <c r="X9" s="184" t="str">
        <f>IF(Tabel1353[[#This Row],[Inkomsten-periode]]="",IF(Tabel1353[[#This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f>
        <v/>
      </c>
      <c r="Y9" s="186" t="str">
        <f>IF(Tabel1353[[#This Row],[Inkomsten-periode]]="",IF(Tabel1353[[#This Row],[CdRdnEindArbov]]=33,0,IF(AND(OR(Tabel1353[[#This Row],[SrtIV]]=13,Tabel1353[[#This Row],[SrtIV]]=15,Tabel1353[[#This Row],[SrtIV]]=31),OR(Tabel1353[[#This Row],[CdAard]]=1,Tabel1353[[#This Row],[CdAard]]=11,Tabel1353[[#This Row],[CdAard]]=82,Tabel1353[[#This Row],[CdAard]]=83)),Tabel1353[[#This Row],[AantVerlU]],"")),"")</f>
        <v/>
      </c>
    </row>
    <row r="10" spans="1:38" s="113" customFormat="1" ht="16.399999999999999" customHeight="1" thickBot="1" x14ac:dyDescent="0.3">
      <c r="A10" s="200"/>
      <c r="B10" s="200"/>
      <c r="C10" s="200"/>
      <c r="D10" s="144" t="str">
        <f>IF(OR(Datum_Einde_IKV&gt;G9,Datum_Einde_IKV=""),IF(AND($B$2="Maandelijks", COUNTIF($D$1:D9, 12)=1), "",IF(OR(AND($B$2="Maandelijks", D9=12),AND($B$2="Vierwekelijks", D9=13), D9 = "Periode"), 1, D9+1)),"")</f>
        <v/>
      </c>
      <c r="E10" s="145" t="str">
        <f>IF(OR(Datum_Einde_IKV="",Tabel1353[[#This Row],[DatAanvTv]]&lt;Datum_Einde_IKV),IF(E9="december","",IF(Verloningsperiodiciteit="maandelijks",rekenwaarden!F11,_xlfn.CONCAT("Periode ",rekenwaarden!E11))),"")</f>
        <v/>
      </c>
      <c r="F10" s="146" t="str">
        <f t="shared" si="0"/>
        <v/>
      </c>
      <c r="G10" s="146" t="str">
        <f>IF(F10="", "", IF(Verloningsperiodiciteit="Vierwekelijks", _xlfn.XLOOKUP(F10,rekenwaarden!$C$3:$C$54,rekenwaarden!$D$3:$D$54,"niet gevonden",-1), _xlfn.XLOOKUP(F10,rekenwaarden!$I$3:$I$54,rekenwaarden!$J$3:$J$54,"niet gevonden",-1)))</f>
        <v/>
      </c>
      <c r="H10" s="147" t="str">
        <f>IF(Tabel1353[[#This Row],[Inkomsten-periode]]="","",DATEDIF(Geboortedatum,Tabel1353[[#This Row],[DatEindTv]],"Y"))</f>
        <v/>
      </c>
      <c r="I10" s="146" t="str">
        <f>IF(Tabel1353[[#This Row],[Inkomsten-periode]]="","",IF(Datum_Aanvang_IKV="","",Datum_Aanvang_IKV))</f>
        <v/>
      </c>
      <c r="J10" s="146" t="str">
        <f>IF(Tabel1353[[#This Row],[Inkomsten-periode]]="","",IF(Datum_Einde_IKV="","",IF(Datum_Einde_IKV&lt;=Tabel1353[[#This Row],[DatEindTv]],Datum_Einde_IKV,"")))</f>
        <v/>
      </c>
      <c r="K10" s="138"/>
      <c r="L10" s="138"/>
      <c r="M10" s="138"/>
      <c r="N10" s="139"/>
      <c r="O10" s="140"/>
      <c r="P10" s="140"/>
      <c r="Q10" s="140"/>
      <c r="R10" s="140"/>
      <c r="S10" s="140"/>
      <c r="T10" s="140"/>
      <c r="U10" s="140"/>
      <c r="V10" s="184" t="str">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Row],[OpnAvwb]],0))))</f>
        <v/>
      </c>
      <c r="W10" s="186" t="str">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Row],[AantVerlU]],0))))</f>
        <v/>
      </c>
      <c r="X10" s="184" t="str">
        <f>IF(Tabel1353[[#This Row],[Inkomsten-periode]]="",IF(Tabel1353[[#This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f>
        <v/>
      </c>
      <c r="Y10" s="186" t="str">
        <f>IF(Tabel1353[[#This Row],[Inkomsten-periode]]="",IF(Tabel1353[[#This Row],[CdRdnEindArbov]]=33,0,IF(AND(OR(Tabel1353[[#This Row],[SrtIV]]=13,Tabel1353[[#This Row],[SrtIV]]=15,Tabel1353[[#This Row],[SrtIV]]=31),OR(Tabel1353[[#This Row],[CdAard]]=1,Tabel1353[[#This Row],[CdAard]]=11,Tabel1353[[#This Row],[CdAard]]=82,Tabel1353[[#This Row],[CdAard]]=83)),Tabel1353[[#This Row],[AantVerlU]],"")),"")</f>
        <v/>
      </c>
    </row>
    <row r="11" spans="1:38" s="113" customFormat="1" ht="16.399999999999999" customHeight="1" x14ac:dyDescent="0.25">
      <c r="A11" s="245" t="s">
        <v>65</v>
      </c>
      <c r="B11" s="246"/>
      <c r="C11" s="200"/>
      <c r="D11" s="145" t="str">
        <f>IF(OR(Datum_Einde_IKV&gt;G10,Datum_Einde_IKV=""),IF(AND($B$2="Maandelijks", COUNTIF($D$1:D10, 12)=1), "",IF(OR(AND($B$2="Maandelijks", D10=12),AND($B$2="Vierwekelijks", D10=13), D10 = "Periode"), 1, D10+1)),"")</f>
        <v/>
      </c>
      <c r="E11" s="145" t="str">
        <f>IF(OR(Datum_Einde_IKV="",Tabel1353[[#This Row],[DatAanvTv]]&lt;Datum_Einde_IKV),IF(E10="december","",IF(Verloningsperiodiciteit="maandelijks",rekenwaarden!F12,_xlfn.CONCAT("Periode ",rekenwaarden!E12))),"")</f>
        <v/>
      </c>
      <c r="F11" s="146" t="str">
        <f t="shared" si="0"/>
        <v/>
      </c>
      <c r="G11" s="146" t="str">
        <f>IF(F11="", "", IF(Verloningsperiodiciteit="Vierwekelijks", _xlfn.XLOOKUP(F11,rekenwaarden!$C$3:$C$54,rekenwaarden!$D$3:$D$54,"niet gevonden",-1), _xlfn.XLOOKUP(F11,rekenwaarden!$I$3:$I$54,rekenwaarden!$J$3:$J$54,"niet gevonden",-1)))</f>
        <v/>
      </c>
      <c r="H11" s="147" t="str">
        <f>IF(Tabel1353[[#This Row],[Inkomsten-periode]]="","",DATEDIF(Geboortedatum,Tabel1353[[#This Row],[DatEindTv]],"Y"))</f>
        <v/>
      </c>
      <c r="I11" s="146" t="str">
        <f>IF(Tabel1353[[#This Row],[Inkomsten-periode]]="","",IF(Datum_Aanvang_IKV="","",Datum_Aanvang_IKV))</f>
        <v/>
      </c>
      <c r="J11" s="146" t="str">
        <f>IF(Tabel1353[[#This Row],[Inkomsten-periode]]="","",IF(Datum_Einde_IKV="","",IF(Datum_Einde_IKV&lt;=Tabel1353[[#This Row],[DatEindTv]],Datum_Einde_IKV,"")))</f>
        <v/>
      </c>
      <c r="K11" s="141"/>
      <c r="L11" s="141"/>
      <c r="M11" s="141"/>
      <c r="N11" s="142"/>
      <c r="O11" s="143"/>
      <c r="P11" s="143"/>
      <c r="Q11" s="143"/>
      <c r="R11" s="143"/>
      <c r="S11" s="143"/>
      <c r="T11" s="143"/>
      <c r="U11" s="143"/>
      <c r="V11" s="184" t="str">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Row],[OpnAvwb]],0))))</f>
        <v/>
      </c>
      <c r="W11" s="186" t="str">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Row],[AantVerlU]],0))))</f>
        <v/>
      </c>
      <c r="X11" s="184" t="str">
        <f>IF(Tabel1353[[#This Row],[Inkomsten-periode]]="",IF(Tabel1353[[#This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f>
        <v/>
      </c>
      <c r="Y11" s="186" t="str">
        <f>IF(Tabel1353[[#This Row],[Inkomsten-periode]]="",IF(Tabel1353[[#This Row],[CdRdnEindArbov]]=33,0,IF(AND(OR(Tabel1353[[#This Row],[SrtIV]]=13,Tabel1353[[#This Row],[SrtIV]]=15,Tabel1353[[#This Row],[SrtIV]]=31),OR(Tabel1353[[#This Row],[CdAard]]=1,Tabel1353[[#This Row],[CdAard]]=11,Tabel1353[[#This Row],[CdAard]]=82,Tabel1353[[#This Row],[CdAard]]=83)),Tabel1353[[#This Row],[AantVerlU]],"")),"")</f>
        <v/>
      </c>
    </row>
    <row r="12" spans="1:38" s="113" customFormat="1" ht="16.399999999999999" customHeight="1" x14ac:dyDescent="0.25">
      <c r="A12" s="249" t="s">
        <v>174</v>
      </c>
      <c r="B12" s="250"/>
      <c r="C12" s="200"/>
      <c r="D12" s="144" t="str">
        <f>IF(OR(Datum_Einde_IKV&gt;G11,Datum_Einde_IKV=""),IF(AND($B$2="Maandelijks", COUNTIF($D$1:D11, 12)=1), "",IF(OR(AND($B$2="Maandelijks", D11=12),AND($B$2="Vierwekelijks", D11=13), D11 = "Periode"), 1, D11+1)),"")</f>
        <v/>
      </c>
      <c r="E12" s="145" t="str">
        <f>IF(OR(Datum_Einde_IKV="",Tabel1353[[#This Row],[DatAanvTv]]&lt;Datum_Einde_IKV),IF(E11="december","",IF(Verloningsperiodiciteit="maandelijks",rekenwaarden!F13,_xlfn.CONCAT("Periode ",rekenwaarden!E13))),"")</f>
        <v/>
      </c>
      <c r="F12" s="146" t="str">
        <f t="shared" si="0"/>
        <v/>
      </c>
      <c r="G12" s="146" t="str">
        <f>IF(F12="", "", IF(Verloningsperiodiciteit="Vierwekelijks", _xlfn.XLOOKUP(F12,rekenwaarden!$C$3:$C$54,rekenwaarden!$D$3:$D$54,"niet gevonden",-1), _xlfn.XLOOKUP(F12,rekenwaarden!$I$3:$I$54,rekenwaarden!$J$3:$J$54,"niet gevonden",-1)))</f>
        <v/>
      </c>
      <c r="H12" s="147" t="str">
        <f>IF(Tabel1353[[#This Row],[Inkomsten-periode]]="","",DATEDIF(Geboortedatum,Tabel1353[[#This Row],[DatEindTv]],"Y"))</f>
        <v/>
      </c>
      <c r="I12" s="146" t="str">
        <f>IF(Tabel1353[[#This Row],[Inkomsten-periode]]="","",IF(Datum_Aanvang_IKV="","",Datum_Aanvang_IKV))</f>
        <v/>
      </c>
      <c r="J12" s="146" t="str">
        <f>IF(Tabel1353[[#This Row],[Inkomsten-periode]]="","",IF(Datum_Einde_IKV="","",IF(Datum_Einde_IKV&lt;=Tabel1353[[#This Row],[DatEindTv]],Datum_Einde_IKV,"")))</f>
        <v/>
      </c>
      <c r="K12" s="138"/>
      <c r="L12" s="138"/>
      <c r="M12" s="138"/>
      <c r="N12" s="139"/>
      <c r="O12" s="140"/>
      <c r="P12" s="140"/>
      <c r="Q12" s="140"/>
      <c r="R12" s="140"/>
      <c r="S12" s="140"/>
      <c r="T12" s="140"/>
      <c r="U12" s="140"/>
      <c r="V12" s="184" t="str">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Row],[OpnAvwb]],0))))</f>
        <v/>
      </c>
      <c r="W12" s="186" t="str">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Row],[AantVerlU]],0))))</f>
        <v/>
      </c>
      <c r="X12" s="184" t="str">
        <f>IF(Tabel1353[[#This Row],[Inkomsten-periode]]="",IF(Tabel1353[[#This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f>
        <v/>
      </c>
      <c r="Y12" s="186" t="str">
        <f>IF(Tabel1353[[#This Row],[Inkomsten-periode]]="",IF(Tabel1353[[#This Row],[CdRdnEindArbov]]=33,0,IF(AND(OR(Tabel1353[[#This Row],[SrtIV]]=13,Tabel1353[[#This Row],[SrtIV]]=15,Tabel1353[[#This Row],[SrtIV]]=31),OR(Tabel1353[[#This Row],[CdAard]]=1,Tabel1353[[#This Row],[CdAard]]=11,Tabel1353[[#This Row],[CdAard]]=82,Tabel1353[[#This Row],[CdAard]]=83)),Tabel1353[[#This Row],[AantVerlU]],"")),"")</f>
        <v/>
      </c>
    </row>
    <row r="13" spans="1:38" s="113" customFormat="1" ht="16.399999999999999" customHeight="1" x14ac:dyDescent="0.25">
      <c r="A13" s="249"/>
      <c r="B13" s="250"/>
      <c r="C13" s="200"/>
      <c r="D13" s="145" t="str">
        <f>IF(OR(Datum_Einde_IKV&gt;G12,Datum_Einde_IKV=""),IF(AND($B$2="Maandelijks", COUNTIF($D$1:D12, 12)=1), "",IF(OR(AND($B$2="Maandelijks", D12=12),AND($B$2="Vierwekelijks", D12=13), D12 = "Periode"), 1, D12+1)),"")</f>
        <v/>
      </c>
      <c r="E13" s="145" t="str">
        <f>IF(OR(Datum_Einde_IKV="",Tabel1353[[#This Row],[DatAanvTv]]&lt;Datum_Einde_IKV),IF(E12="december","",IF(Verloningsperiodiciteit="maandelijks",rekenwaarden!F14,_xlfn.CONCAT("Periode ",rekenwaarden!E14))),"")</f>
        <v/>
      </c>
      <c r="F13" s="146" t="str">
        <f t="shared" si="0"/>
        <v/>
      </c>
      <c r="G13" s="146" t="str">
        <f>IF(F13="", "", IF(Verloningsperiodiciteit="Vierwekelijks", _xlfn.XLOOKUP(F13,rekenwaarden!$C$3:$C$54,rekenwaarden!$D$3:$D$54,"niet gevonden",-1), _xlfn.XLOOKUP(F13,rekenwaarden!$I$3:$I$54,rekenwaarden!$J$3:$J$54,"niet gevonden",-1)))</f>
        <v/>
      </c>
      <c r="H13" s="147" t="str">
        <f>IF(Tabel1353[[#This Row],[Inkomsten-periode]]="","",DATEDIF(Geboortedatum,Tabel1353[[#This Row],[DatEindTv]],"Y"))</f>
        <v/>
      </c>
      <c r="I13" s="146" t="str">
        <f>IF(Tabel1353[[#This Row],[Inkomsten-periode]]="","",IF(Datum_Aanvang_IKV="","",Datum_Aanvang_IKV))</f>
        <v/>
      </c>
      <c r="J13" s="146" t="str">
        <f>IF(Tabel1353[[#This Row],[Inkomsten-periode]]="","",IF(Datum_Einde_IKV="","",IF(Datum_Einde_IKV&lt;=Tabel1353[[#This Row],[DatEindTv]],Datum_Einde_IKV,"")))</f>
        <v/>
      </c>
      <c r="K13" s="141"/>
      <c r="L13" s="141"/>
      <c r="M13" s="141"/>
      <c r="N13" s="142"/>
      <c r="O13" s="143"/>
      <c r="P13" s="143"/>
      <c r="Q13" s="143"/>
      <c r="R13" s="143"/>
      <c r="S13" s="143"/>
      <c r="T13" s="143"/>
      <c r="U13" s="143"/>
      <c r="V13" s="184" t="str">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Row],[OpnAvwb]],0))))</f>
        <v/>
      </c>
      <c r="W13" s="186" t="str">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Row],[AantVerlU]],0))))</f>
        <v/>
      </c>
      <c r="X13" s="184" t="str">
        <f>IF(Tabel1353[[#This Row],[Inkomsten-periode]]="",IF(Tabel1353[[#This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f>
        <v/>
      </c>
      <c r="Y13" s="186" t="str">
        <f>IF(Tabel1353[[#This Row],[Inkomsten-periode]]="",IF(Tabel1353[[#This Row],[CdRdnEindArbov]]=33,0,IF(AND(OR(Tabel1353[[#This Row],[SrtIV]]=13,Tabel1353[[#This Row],[SrtIV]]=15,Tabel1353[[#This Row],[SrtIV]]=31),OR(Tabel1353[[#This Row],[CdAard]]=1,Tabel1353[[#This Row],[CdAard]]=11,Tabel1353[[#This Row],[CdAard]]=82,Tabel1353[[#This Row],[CdAard]]=83)),Tabel1353[[#This Row],[AantVerlU]],"")),"")</f>
        <v/>
      </c>
    </row>
    <row r="14" spans="1:38" s="113" customFormat="1" ht="16.399999999999999" customHeight="1" x14ac:dyDescent="0.25">
      <c r="A14" s="249"/>
      <c r="B14" s="250"/>
      <c r="C14" s="200"/>
      <c r="D14" s="144" t="str">
        <f>IF(OR(Datum_Einde_IKV&gt;G13,Datum_Einde_IKV=""),IF(AND($B$2="Maandelijks", COUNTIF($D$1:D13, 12)=1), "",IF(OR(AND($B$2="Maandelijks", D13=12),AND($B$2="Vierwekelijks", D13=13), D13 = "Periode"), 1, D13+1)),"")</f>
        <v/>
      </c>
      <c r="E14" s="145" t="str">
        <f>IF(OR(Datum_Einde_IKV="",Tabel1353[[#This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IF(Tabel1353[[#This Row],[Inkomsten-periode]]="","",DATEDIF(Geboortedatum,Tabel1353[[#This Row],[DatEindTv]],"Y"))</f>
        <v/>
      </c>
      <c r="I14" s="146" t="str">
        <f>IF(Tabel1353[[#This Row],[Inkomsten-periode]]="","",IF(Datum_Aanvang_IKV="","",Datum_Aanvang_IKV))</f>
        <v/>
      </c>
      <c r="J14" s="146" t="str">
        <f>IF(Tabel1353[[#This Row],[Inkomsten-periode]]="","",IF(Datum_Einde_IKV="","",IF(Datum_Einde_IKV&lt;=Tabel1353[[#This Row],[DatEindTv]],Datum_Einde_IKV,"")))</f>
        <v/>
      </c>
      <c r="K14" s="138"/>
      <c r="L14" s="138"/>
      <c r="M14" s="138"/>
      <c r="N14" s="139"/>
      <c r="O14" s="140"/>
      <c r="P14" s="140"/>
      <c r="Q14" s="140"/>
      <c r="R14" s="140"/>
      <c r="S14" s="140"/>
      <c r="T14" s="140"/>
      <c r="U14" s="140"/>
      <c r="V14" s="184" t="str">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Row],[OpnAvwb]],0))))</f>
        <v/>
      </c>
      <c r="W14" s="187" t="str">
        <f>IF(Tabel1353[[#This Row],[Inkomsten-periode]]="","",IF(OR(Tabel1353[[#This Row],[Leeftijd]]&lt;18,Tabel1353[[#This Row],[Leeftijd]]&gt;=68),0,IF(Tabel1353[[#This Row],[CdRdnEindArbov]]=33,0,IF(AND(OR(Tabel1353[[#This Row],[SrtIV]]=13,Tabel1353[[#This Row],[SrtIV]]=15,Tabel1353[[#This Row],[SrtIV]]=31),OR(Tabel1353[[#This Row],[CdAard]]=1,Tabel1353[[#This Row],[CdAard]]=11,Tabel1353[[#This Row],[CdAard]]=82,Tabel1353[[#This Row],[CdAard]]=83)),Tabel1353[[#This Row],[AantVerlU]],0))))</f>
        <v/>
      </c>
      <c r="X14" s="184" t="str">
        <f>IF(Tabel1353[[#This Row],[Inkomsten-periode]]="",IF(Tabel1353[[#This Row],[CdRdnEindArbov]]=33,0,IF(AND(OR(Tabel1353[[#This Row],[SrtIV]]=13,Tabel1353[[#This Row],[SrtIV]]=15,Tabel1353[[#This Row],[SrtIV]]=31),OR(Tabel1353[[#This Row],[CdAard]]=1,Tabel1353[[#This Row],[CdAard]]=11,Tabel1353[[#This Row],[CdAard]]=82,Tabel1353[[#This Row],[CdAard]]=83)),Tabel1353[[#This Row],[LnInGld]]+Tabel1353[[#This Row],[OpgRchtVakBsl]]-Tabel1353[[#This Row],[VakBsl]]+Tabel1353[[#This Row],[OpbAvwb]]-Tabel1353[[#This Row],[OpnAvwb]],"")),"")</f>
        <v/>
      </c>
      <c r="Y14" s="187" t="str">
        <f>IF(Tabel1353[[#This Row],[Inkomsten-periode]]="",IF(Tabel1353[[#This Row],[CdRdnEindArbov]]=33,0,IF(AND(OR(Tabel1353[[#This Row],[SrtIV]]=13,Tabel1353[[#This Row],[SrtIV]]=15,Tabel1353[[#This Row],[SrtIV]]=31),OR(Tabel1353[[#This Row],[CdAard]]=1,Tabel1353[[#This Row],[CdAard]]=11,Tabel1353[[#This Row],[CdAard]]=82,Tabel1353[[#This Row],[CdAard]]=83)),Tabel1353[[#This Row],[AantVerlU]],"")),"")</f>
        <v/>
      </c>
    </row>
    <row r="15" spans="1:38" ht="16.399999999999999" customHeight="1" thickBot="1" x14ac:dyDescent="0.3">
      <c r="A15" s="249"/>
      <c r="B15" s="250"/>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6.399999999999999" customHeight="1" x14ac:dyDescent="0.35">
      <c r="A16" s="249"/>
      <c r="B16" s="250"/>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249"/>
      <c r="B17" s="250"/>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249"/>
      <c r="B18" s="250"/>
      <c r="C18" s="200"/>
      <c r="D18" s="163">
        <f>D2</f>
        <v>1</v>
      </c>
      <c r="E18" s="150" t="str">
        <f>E2</f>
        <v>januari</v>
      </c>
      <c r="F18" s="151">
        <f>F2</f>
        <v>46388</v>
      </c>
      <c r="G18" s="151">
        <f>G2</f>
        <v>46418</v>
      </c>
      <c r="H18" s="188">
        <f t="shared" ref="H18:H30" si="1">IF(AND(W2="",Y2=""),"",MAX(W2,Y2))</f>
        <v>173</v>
      </c>
      <c r="I18" s="191">
        <f t="shared" ref="I18:I30" si="2">IF(AND(V2="",X2=""),"",MAX(V2,X2))</f>
        <v>4620</v>
      </c>
      <c r="J18" s="188">
        <f>IF($E18="","",IF($E19="",SUM(H18:H$30),H18))</f>
        <v>173</v>
      </c>
      <c r="K18" s="191">
        <f>IF($E18="","",IF($E19="",SUM(I18:I$30),I18))</f>
        <v>4620</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4620</v>
      </c>
      <c r="T18" s="157">
        <f t="shared" ref="T18:T30" si="10">IF(M18="","",J18+IF(AND(D18&lt;&gt;1, T17&lt;&gt;""),T17,0))</f>
        <v>173</v>
      </c>
      <c r="U18" s="157">
        <f t="shared" ref="U18:U30" si="11">IF(M18="","",R18+IF(AND(D18&lt;&gt;1, U17&lt;&gt;""),U17,0))</f>
        <v>173.33333333333334</v>
      </c>
      <c r="V18" s="158">
        <f>IF(M18="",0,T18/U18)</f>
        <v>0.99807692307692297</v>
      </c>
      <c r="W18" s="159">
        <f>IF(M18="","",VLOOKUP($B$6,rekenwaarden!M$8:N$12,2))</f>
        <v>9.4499999999999993</v>
      </c>
      <c r="X18" s="160">
        <f t="shared" ref="X18:X30" si="12">IF(M18="","",W18*J18)</f>
        <v>1634.85</v>
      </c>
      <c r="Y18" s="160">
        <f t="shared" ref="Y18:Y30" si="13">IF(M18="","",X18+IF(AND(D18&lt;&gt;1, Y17&lt;&gt;""),Y17,0))</f>
        <v>1634.85</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2985.15</v>
      </c>
      <c r="AE18" s="160">
        <f t="shared" ref="AE18:AE30" si="17">IF(M18="","",AD18-IF(AND(D18&lt;&gt;1, AD17&lt;&gt;""),AD17,0))</f>
        <v>2985.15</v>
      </c>
      <c r="AF18" s="160">
        <f>IF(OR($B$8="ONWAAR", M18=""), "", MAX(MIN(S18, AC18*MIN(1, V18))-AA18*MIN(1, V18), 0))</f>
        <v>0</v>
      </c>
      <c r="AG18" s="160">
        <f t="shared" ref="AG18:AG30" si="18">IF(OR(M18="", AF18=""),"",AF18-IF(AND(D18&lt;&gt;1, AF17&lt;&gt;""),AF17,0))</f>
        <v>0</v>
      </c>
      <c r="AH18" s="161">
        <f t="shared" ref="AH18:AH30" ca="1" si="19">IF($M18="", "", AE18*INDIRECT(CONCATENATE("premiepct", YEAR(F18))))</f>
        <v>886.58955000000003</v>
      </c>
      <c r="AI18" s="161">
        <f ca="1">IF(OR($F$4=FALSE, M18=""), "", AG18*INDIRECT(CONCATENATE("premiepct", YEAR($F18))))</f>
        <v>0</v>
      </c>
      <c r="AJ18" s="161"/>
      <c r="AK18" s="161"/>
      <c r="AL18" s="164">
        <f ca="1">IF(M18="","",SUM(AH18:AK18))</f>
        <v>886.58955000000003</v>
      </c>
    </row>
    <row r="19" spans="1:38" s="113" customFormat="1" ht="15.65" customHeight="1" x14ac:dyDescent="0.25">
      <c r="A19" s="249"/>
      <c r="B19" s="250"/>
      <c r="C19" s="200"/>
      <c r="D19" s="163">
        <f t="shared" ref="D19:G30" si="20">D3</f>
        <v>2</v>
      </c>
      <c r="E19" s="150" t="str">
        <f t="shared" si="20"/>
        <v>februari</v>
      </c>
      <c r="F19" s="151">
        <f t="shared" si="20"/>
        <v>46419</v>
      </c>
      <c r="G19" s="151">
        <f t="shared" si="20"/>
        <v>46446</v>
      </c>
      <c r="H19" s="189">
        <f t="shared" si="1"/>
        <v>173</v>
      </c>
      <c r="I19" s="192">
        <f t="shared" si="2"/>
        <v>4620</v>
      </c>
      <c r="J19" s="189">
        <f>IF($E19="","",IF($E20="",SUM(H19:H$30),H19))</f>
        <v>173</v>
      </c>
      <c r="K19" s="192">
        <f>IF($E19="","",IF($E20="",SUM(I19:I$30),I19))</f>
        <v>4620</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9240</v>
      </c>
      <c r="T19" s="157">
        <f t="shared" si="10"/>
        <v>346</v>
      </c>
      <c r="U19" s="157">
        <f t="shared" si="11"/>
        <v>346.66666666666669</v>
      </c>
      <c r="V19" s="158">
        <f t="shared" ref="V19:V30" si="22">IF(M19="","",T19/U19)</f>
        <v>0.99807692307692297</v>
      </c>
      <c r="W19" s="159">
        <f>IF(M19="","",VLOOKUP($B$6,rekenwaarden!M$8:N$12,2))</f>
        <v>9.4499999999999993</v>
      </c>
      <c r="X19" s="160">
        <f t="shared" si="12"/>
        <v>1634.85</v>
      </c>
      <c r="Y19" s="160">
        <f t="shared" si="13"/>
        <v>3269.7</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5970.3</v>
      </c>
      <c r="AE19" s="160">
        <f t="shared" si="17"/>
        <v>2985.15</v>
      </c>
      <c r="AF19" s="160">
        <f t="shared" ref="AF19:AF30" si="23">IF(OR($B$8="ONWAAR", M19=""), "", MAX(MIN(S19, AC19*MIN(1, V19))-AA19*MIN(1, V19), 0))</f>
        <v>0</v>
      </c>
      <c r="AG19" s="160">
        <f t="shared" si="18"/>
        <v>0</v>
      </c>
      <c r="AH19" s="161">
        <f t="shared" ca="1" si="19"/>
        <v>886.58955000000003</v>
      </c>
      <c r="AI19" s="161">
        <f t="shared" ref="AI19:AI30" ca="1" si="24">IF(OR($F$4=FALSE, M19=""), "", AG19*INDIRECT(CONCATENATE("premiepct", YEAR($F19))))</f>
        <v>0</v>
      </c>
      <c r="AJ19" s="161"/>
      <c r="AK19" s="161"/>
      <c r="AL19" s="164">
        <f t="shared" ref="AL19:AL30" ca="1" si="25">IF(M19="","",SUM(AH19:AK19))</f>
        <v>886.58955000000003</v>
      </c>
    </row>
    <row r="20" spans="1:38" s="113" customFormat="1" ht="15.65" customHeight="1" x14ac:dyDescent="0.25">
      <c r="A20" s="249"/>
      <c r="B20" s="250"/>
      <c r="C20" s="200"/>
      <c r="D20" s="163">
        <f t="shared" si="20"/>
        <v>3</v>
      </c>
      <c r="E20" s="150" t="str">
        <f t="shared" si="20"/>
        <v>maart</v>
      </c>
      <c r="F20" s="151">
        <f t="shared" si="20"/>
        <v>46447</v>
      </c>
      <c r="G20" s="151">
        <f t="shared" si="20"/>
        <v>46477</v>
      </c>
      <c r="H20" s="188">
        <f t="shared" si="1"/>
        <v>173</v>
      </c>
      <c r="I20" s="191">
        <f t="shared" si="2"/>
        <v>4620</v>
      </c>
      <c r="J20" s="188">
        <f>IF($E20="","",IF($E21="",SUM(H20:H$30),H20))</f>
        <v>173</v>
      </c>
      <c r="K20" s="191">
        <f>IF($E20="","",IF($E21="",SUM(I20:I$30),I20))</f>
        <v>4620</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13860</v>
      </c>
      <c r="T20" s="157">
        <f t="shared" si="10"/>
        <v>519</v>
      </c>
      <c r="U20" s="157">
        <f t="shared" si="11"/>
        <v>520</v>
      </c>
      <c r="V20" s="158">
        <f t="shared" si="22"/>
        <v>0.99807692307692308</v>
      </c>
      <c r="W20" s="159">
        <f>IF(M20="","",VLOOKUP($B$6,rekenwaarden!M$8:N$12,2))</f>
        <v>9.4499999999999993</v>
      </c>
      <c r="X20" s="160">
        <f t="shared" si="12"/>
        <v>1634.85</v>
      </c>
      <c r="Y20" s="160">
        <f t="shared" si="13"/>
        <v>4904.5499999999993</v>
      </c>
      <c r="Z20" s="160">
        <f>IF(M20="","", VLOOKUP(B$6,rekenwaarden!M$8:T$12,3)*Q20)</f>
        <v>6617.4166666666661</v>
      </c>
      <c r="AA20" s="160">
        <f t="shared" si="14"/>
        <v>19852.25</v>
      </c>
      <c r="AB20" s="160">
        <f>IF(M20="","", VLOOKUP($B$6,rekenwaarden!M$8:T$12,4)*Q20)</f>
        <v>11483.333333333332</v>
      </c>
      <c r="AC20" s="160">
        <f t="shared" si="15"/>
        <v>34450</v>
      </c>
      <c r="AD20" s="160">
        <f t="shared" si="16"/>
        <v>8955.4500000000007</v>
      </c>
      <c r="AE20" s="160">
        <f t="shared" si="17"/>
        <v>2985.1500000000005</v>
      </c>
      <c r="AF20" s="160">
        <f t="shared" si="23"/>
        <v>0</v>
      </c>
      <c r="AG20" s="160">
        <f t="shared" si="18"/>
        <v>0</v>
      </c>
      <c r="AH20" s="161">
        <f t="shared" ca="1" si="19"/>
        <v>886.58955000000014</v>
      </c>
      <c r="AI20" s="161">
        <f t="shared" ca="1" si="24"/>
        <v>0</v>
      </c>
      <c r="AJ20" s="161"/>
      <c r="AK20" s="161"/>
      <c r="AL20" s="164">
        <f t="shared" ca="1" si="25"/>
        <v>886.58955000000014</v>
      </c>
    </row>
    <row r="21" spans="1:38" s="113" customFormat="1" ht="15.65" customHeight="1" x14ac:dyDescent="0.25">
      <c r="A21" s="249"/>
      <c r="B21" s="250"/>
      <c r="C21" s="200"/>
      <c r="D21" s="163">
        <f t="shared" si="20"/>
        <v>4</v>
      </c>
      <c r="E21" s="150" t="str">
        <f t="shared" si="20"/>
        <v>april</v>
      </c>
      <c r="F21" s="151">
        <f t="shared" si="20"/>
        <v>46478</v>
      </c>
      <c r="G21" s="151">
        <f t="shared" si="20"/>
        <v>46507</v>
      </c>
      <c r="H21" s="189">
        <f t="shared" si="1"/>
        <v>173</v>
      </c>
      <c r="I21" s="192">
        <f t="shared" si="2"/>
        <v>4620</v>
      </c>
      <c r="J21" s="189">
        <f>IF($E21="","",IF($E22="",SUM(H21:H$30),H21))</f>
        <v>173</v>
      </c>
      <c r="K21" s="192">
        <f>IF($E21="","",IF($E22="",SUM(I21:I$30),I21))</f>
        <v>4620</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18480</v>
      </c>
      <c r="T21" s="157">
        <f t="shared" si="10"/>
        <v>692</v>
      </c>
      <c r="U21" s="157">
        <f t="shared" si="11"/>
        <v>693.33333333333337</v>
      </c>
      <c r="V21" s="158">
        <f t="shared" si="22"/>
        <v>0.99807692307692297</v>
      </c>
      <c r="W21" s="159">
        <f>IF(M21="","",VLOOKUP($B$6,rekenwaarden!M$8:N$12,2))</f>
        <v>9.4499999999999993</v>
      </c>
      <c r="X21" s="160">
        <f t="shared" si="12"/>
        <v>1634.85</v>
      </c>
      <c r="Y21" s="160">
        <f t="shared" si="13"/>
        <v>6539.4</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11940.6</v>
      </c>
      <c r="AE21" s="160">
        <f t="shared" si="17"/>
        <v>2985.1499999999996</v>
      </c>
      <c r="AF21" s="160">
        <f t="shared" si="23"/>
        <v>0</v>
      </c>
      <c r="AG21" s="160">
        <f t="shared" si="18"/>
        <v>0</v>
      </c>
      <c r="AH21" s="161">
        <f t="shared" ca="1" si="19"/>
        <v>886.5895499999998</v>
      </c>
      <c r="AI21" s="161">
        <f t="shared" ca="1" si="24"/>
        <v>0</v>
      </c>
      <c r="AJ21" s="161"/>
      <c r="AK21" s="161"/>
      <c r="AL21" s="164">
        <f t="shared" ca="1" si="25"/>
        <v>886.5895499999998</v>
      </c>
    </row>
    <row r="22" spans="1:38" s="113" customFormat="1" ht="15.65" customHeight="1" x14ac:dyDescent="0.25">
      <c r="A22" s="249"/>
      <c r="B22" s="250"/>
      <c r="C22" s="200"/>
      <c r="D22" s="163">
        <f t="shared" si="20"/>
        <v>5</v>
      </c>
      <c r="E22" s="150" t="str">
        <f t="shared" si="20"/>
        <v>mei</v>
      </c>
      <c r="F22" s="151">
        <f t="shared" si="20"/>
        <v>46508</v>
      </c>
      <c r="G22" s="151">
        <f t="shared" si="20"/>
        <v>46538</v>
      </c>
      <c r="H22" s="188">
        <f t="shared" si="1"/>
        <v>173</v>
      </c>
      <c r="I22" s="191">
        <f t="shared" si="2"/>
        <v>4620</v>
      </c>
      <c r="J22" s="188">
        <f>IF($E22="","",IF($E23="",SUM(H22:H$30),H22))</f>
        <v>173</v>
      </c>
      <c r="K22" s="191">
        <f>IF($E22="","",IF($E23="",SUM(I22:I$30),I22))</f>
        <v>4620</v>
      </c>
      <c r="L22" s="152">
        <f t="shared" si="3"/>
        <v>40</v>
      </c>
      <c r="M22" s="151">
        <f t="shared" si="4"/>
        <v>46508</v>
      </c>
      <c r="N22" s="151">
        <f t="shared" si="5"/>
        <v>46538</v>
      </c>
      <c r="O22" s="150">
        <f t="shared" si="21"/>
        <v>31</v>
      </c>
      <c r="P22" s="153">
        <f t="shared" si="6"/>
        <v>1</v>
      </c>
      <c r="Q22" s="154">
        <f t="shared" si="7"/>
        <v>8.3333333333333329E-2</v>
      </c>
      <c r="R22" s="155">
        <f t="shared" si="8"/>
        <v>173.33333333333334</v>
      </c>
      <c r="S22" s="156">
        <f t="shared" si="9"/>
        <v>23100</v>
      </c>
      <c r="T22" s="157">
        <f t="shared" si="10"/>
        <v>865</v>
      </c>
      <c r="U22" s="157">
        <f t="shared" si="11"/>
        <v>866.66666666666674</v>
      </c>
      <c r="V22" s="158">
        <f t="shared" si="22"/>
        <v>0.99807692307692297</v>
      </c>
      <c r="W22" s="159">
        <f>IF(M22="","",VLOOKUP($B$6,rekenwaarden!M$8:N$12,2))</f>
        <v>9.4499999999999993</v>
      </c>
      <c r="X22" s="160">
        <f t="shared" si="12"/>
        <v>1634.85</v>
      </c>
      <c r="Y22" s="160">
        <f t="shared" si="13"/>
        <v>8174.25</v>
      </c>
      <c r="Z22" s="160">
        <f>IF(M22="","", VLOOKUP(B$6,rekenwaarden!M$8:T$12,3)*Q22)</f>
        <v>6617.4166666666661</v>
      </c>
      <c r="AA22" s="160">
        <f t="shared" si="14"/>
        <v>33087.083333333328</v>
      </c>
      <c r="AB22" s="160">
        <f>IF(M22="","", VLOOKUP($B$6,rekenwaarden!M$8:T$12,4)*Q22)</f>
        <v>11483.333333333332</v>
      </c>
      <c r="AC22" s="160">
        <f t="shared" si="15"/>
        <v>57416.666666666657</v>
      </c>
      <c r="AD22" s="160">
        <f t="shared" si="16"/>
        <v>14925.75</v>
      </c>
      <c r="AE22" s="160">
        <f t="shared" si="17"/>
        <v>2985.1499999999996</v>
      </c>
      <c r="AF22" s="160">
        <f t="shared" si="23"/>
        <v>0</v>
      </c>
      <c r="AG22" s="160">
        <f t="shared" si="18"/>
        <v>0</v>
      </c>
      <c r="AH22" s="161">
        <f t="shared" ca="1" si="19"/>
        <v>886.5895499999998</v>
      </c>
      <c r="AI22" s="161">
        <f t="shared" ca="1" si="24"/>
        <v>0</v>
      </c>
      <c r="AJ22" s="161"/>
      <c r="AK22" s="161"/>
      <c r="AL22" s="164">
        <f t="shared" ca="1" si="25"/>
        <v>886.5895499999998</v>
      </c>
    </row>
    <row r="23" spans="1:38" s="113" customFormat="1" ht="15.65" customHeight="1" x14ac:dyDescent="0.25">
      <c r="A23" s="249"/>
      <c r="B23" s="250"/>
      <c r="C23" s="200"/>
      <c r="D23" s="163">
        <f t="shared" si="20"/>
        <v>6</v>
      </c>
      <c r="E23" s="150" t="str">
        <f t="shared" si="20"/>
        <v>juni</v>
      </c>
      <c r="F23" s="151">
        <f t="shared" si="20"/>
        <v>46539</v>
      </c>
      <c r="G23" s="151">
        <f t="shared" si="20"/>
        <v>46568</v>
      </c>
      <c r="H23" s="189">
        <f t="shared" si="1"/>
        <v>173</v>
      </c>
      <c r="I23" s="192">
        <f t="shared" si="2"/>
        <v>4620</v>
      </c>
      <c r="J23" s="189">
        <f>IF($E23="","",IF($E24="",SUM(H23:H$30),H23))</f>
        <v>173</v>
      </c>
      <c r="K23" s="192">
        <f>IF($E23="","",IF($E24="",SUM(I23:I$30),I23))</f>
        <v>4620</v>
      </c>
      <c r="L23" s="152">
        <f t="shared" si="3"/>
        <v>40</v>
      </c>
      <c r="M23" s="151">
        <f t="shared" si="4"/>
        <v>46539</v>
      </c>
      <c r="N23" s="151">
        <f t="shared" si="5"/>
        <v>46568</v>
      </c>
      <c r="O23" s="150">
        <f t="shared" si="21"/>
        <v>30</v>
      </c>
      <c r="P23" s="153">
        <f t="shared" si="6"/>
        <v>1</v>
      </c>
      <c r="Q23" s="154">
        <f t="shared" si="7"/>
        <v>8.3333333333333329E-2</v>
      </c>
      <c r="R23" s="155">
        <f t="shared" si="8"/>
        <v>173.33333333333334</v>
      </c>
      <c r="S23" s="156">
        <f t="shared" si="9"/>
        <v>27720</v>
      </c>
      <c r="T23" s="157">
        <f t="shared" si="10"/>
        <v>1038</v>
      </c>
      <c r="U23" s="157">
        <f t="shared" si="11"/>
        <v>1040</v>
      </c>
      <c r="V23" s="158">
        <f t="shared" si="22"/>
        <v>0.99807692307692308</v>
      </c>
      <c r="W23" s="159">
        <f>IF(M23="","",VLOOKUP($B$6,rekenwaarden!M$8:N$12,2))</f>
        <v>9.4499999999999993</v>
      </c>
      <c r="X23" s="160">
        <f t="shared" si="12"/>
        <v>1634.85</v>
      </c>
      <c r="Y23" s="160">
        <f t="shared" si="13"/>
        <v>9809.1</v>
      </c>
      <c r="Z23" s="160">
        <f>IF(M23="","", VLOOKUP(B$6,rekenwaarden!M$8:T$12,3)*Q23)</f>
        <v>6617.4166666666661</v>
      </c>
      <c r="AA23" s="160">
        <f t="shared" si="14"/>
        <v>39704.499999999993</v>
      </c>
      <c r="AB23" s="160">
        <f>IF(M23="","", VLOOKUP($B$6,rekenwaarden!M$8:T$12,4)*Q23)</f>
        <v>11483.333333333332</v>
      </c>
      <c r="AC23" s="160">
        <f t="shared" si="15"/>
        <v>68899.999999999985</v>
      </c>
      <c r="AD23" s="160">
        <f t="shared" si="16"/>
        <v>17910.900000000001</v>
      </c>
      <c r="AE23" s="160">
        <f t="shared" si="17"/>
        <v>2985.1500000000015</v>
      </c>
      <c r="AF23" s="160">
        <f t="shared" si="23"/>
        <v>0</v>
      </c>
      <c r="AG23" s="160">
        <f t="shared" si="18"/>
        <v>0</v>
      </c>
      <c r="AH23" s="161">
        <f t="shared" ca="1" si="19"/>
        <v>886.58955000000037</v>
      </c>
      <c r="AI23" s="161">
        <f t="shared" ca="1" si="24"/>
        <v>0</v>
      </c>
      <c r="AJ23" s="161"/>
      <c r="AK23" s="161"/>
      <c r="AL23" s="164">
        <f t="shared" ca="1" si="25"/>
        <v>886.58955000000037</v>
      </c>
    </row>
    <row r="24" spans="1:38" s="113" customFormat="1" ht="15.65" customHeight="1" x14ac:dyDescent="0.25">
      <c r="A24" s="249"/>
      <c r="B24" s="250"/>
      <c r="C24" s="200"/>
      <c r="D24" s="163">
        <f t="shared" si="20"/>
        <v>7</v>
      </c>
      <c r="E24" s="150" t="str">
        <f t="shared" si="20"/>
        <v>juli</v>
      </c>
      <c r="F24" s="151">
        <f t="shared" si="20"/>
        <v>46569</v>
      </c>
      <c r="G24" s="151">
        <f t="shared" si="20"/>
        <v>46599</v>
      </c>
      <c r="H24" s="188">
        <f t="shared" si="1"/>
        <v>213</v>
      </c>
      <c r="I24" s="191">
        <f t="shared" si="2"/>
        <v>5580</v>
      </c>
      <c r="J24" s="188">
        <f>IF($E24="","",IF($E25="",SUM(H24:H$30),H24))</f>
        <v>213</v>
      </c>
      <c r="K24" s="191">
        <f>IF($E24="","",IF($E25="",SUM(I24:I$30),I24))</f>
        <v>5580</v>
      </c>
      <c r="L24" s="152">
        <f t="shared" si="3"/>
        <v>40</v>
      </c>
      <c r="M24" s="151">
        <f t="shared" si="4"/>
        <v>46569</v>
      </c>
      <c r="N24" s="151">
        <f t="shared" si="5"/>
        <v>46599</v>
      </c>
      <c r="O24" s="150">
        <f t="shared" si="21"/>
        <v>31</v>
      </c>
      <c r="P24" s="153">
        <f t="shared" si="6"/>
        <v>1</v>
      </c>
      <c r="Q24" s="154">
        <f t="shared" si="7"/>
        <v>8.3333333333333329E-2</v>
      </c>
      <c r="R24" s="155">
        <f t="shared" si="8"/>
        <v>173.33333333333334</v>
      </c>
      <c r="S24" s="156">
        <f t="shared" si="9"/>
        <v>33300</v>
      </c>
      <c r="T24" s="157">
        <f t="shared" si="10"/>
        <v>1251</v>
      </c>
      <c r="U24" s="157">
        <f t="shared" si="11"/>
        <v>1213.3333333333333</v>
      </c>
      <c r="V24" s="158">
        <f t="shared" si="22"/>
        <v>1.0310439560439562</v>
      </c>
      <c r="W24" s="159">
        <f>IF(M24="","",VLOOKUP($B$6,rekenwaarden!M$8:N$12,2))</f>
        <v>9.4499999999999993</v>
      </c>
      <c r="X24" s="160">
        <f t="shared" si="12"/>
        <v>2012.85</v>
      </c>
      <c r="Y24" s="160">
        <f t="shared" si="13"/>
        <v>11821.95</v>
      </c>
      <c r="Z24" s="160">
        <f>IF(M24="","", VLOOKUP(B$6,rekenwaarden!M$8:T$12,3)*Q24)</f>
        <v>6617.4166666666661</v>
      </c>
      <c r="AA24" s="160">
        <f t="shared" si="14"/>
        <v>46321.916666666657</v>
      </c>
      <c r="AB24" s="160">
        <f>IF(M24="","", VLOOKUP($B$6,rekenwaarden!M$8:T$12,4)*Q24)</f>
        <v>11483.333333333332</v>
      </c>
      <c r="AC24" s="160">
        <f t="shared" si="15"/>
        <v>80383.333333333314</v>
      </c>
      <c r="AD24" s="160">
        <f t="shared" si="16"/>
        <v>21478.05</v>
      </c>
      <c r="AE24" s="160">
        <f t="shared" si="17"/>
        <v>3567.1499999999978</v>
      </c>
      <c r="AF24" s="160">
        <f t="shared" si="23"/>
        <v>0</v>
      </c>
      <c r="AG24" s="160">
        <f t="shared" si="18"/>
        <v>0</v>
      </c>
      <c r="AH24" s="161">
        <f t="shared" ca="1" si="19"/>
        <v>1059.4435499999993</v>
      </c>
      <c r="AI24" s="161">
        <f t="shared" ca="1" si="24"/>
        <v>0</v>
      </c>
      <c r="AJ24" s="161"/>
      <c r="AK24" s="161"/>
      <c r="AL24" s="164">
        <f t="shared" ca="1" si="25"/>
        <v>1059.4435499999993</v>
      </c>
    </row>
    <row r="25" spans="1:38" s="113" customFormat="1" ht="15.65" customHeight="1" x14ac:dyDescent="0.25">
      <c r="A25" s="249"/>
      <c r="B25" s="250"/>
      <c r="C25" s="200"/>
      <c r="D25" s="163">
        <f t="shared" si="20"/>
        <v>8</v>
      </c>
      <c r="E25" s="150" t="str">
        <f t="shared" si="20"/>
        <v>augustus</v>
      </c>
      <c r="F25" s="151">
        <f t="shared" si="20"/>
        <v>46600</v>
      </c>
      <c r="G25" s="151">
        <f t="shared" si="20"/>
        <v>46630</v>
      </c>
      <c r="H25" s="189">
        <f t="shared" si="1"/>
        <v>173</v>
      </c>
      <c r="I25" s="192">
        <f t="shared" si="2"/>
        <v>4620</v>
      </c>
      <c r="J25" s="189">
        <f>IF($E25="","",IF($E26="",SUM(H25:H$30),H25))</f>
        <v>173</v>
      </c>
      <c r="K25" s="192">
        <f>IF($E25="","",IF($E26="",SUM(I25:I$30),I25))</f>
        <v>4620</v>
      </c>
      <c r="L25" s="152">
        <f t="shared" si="3"/>
        <v>40</v>
      </c>
      <c r="M25" s="151">
        <f t="shared" si="4"/>
        <v>46600</v>
      </c>
      <c r="N25" s="151">
        <f t="shared" si="5"/>
        <v>46630</v>
      </c>
      <c r="O25" s="150">
        <f t="shared" si="21"/>
        <v>31</v>
      </c>
      <c r="P25" s="153">
        <f t="shared" si="6"/>
        <v>1</v>
      </c>
      <c r="Q25" s="154">
        <f t="shared" si="7"/>
        <v>8.3333333333333329E-2</v>
      </c>
      <c r="R25" s="155">
        <f t="shared" si="8"/>
        <v>173.33333333333334</v>
      </c>
      <c r="S25" s="156">
        <f t="shared" si="9"/>
        <v>37920</v>
      </c>
      <c r="T25" s="157">
        <f t="shared" si="10"/>
        <v>1424</v>
      </c>
      <c r="U25" s="157">
        <f t="shared" si="11"/>
        <v>1386.6666666666665</v>
      </c>
      <c r="V25" s="158">
        <f t="shared" si="22"/>
        <v>1.026923076923077</v>
      </c>
      <c r="W25" s="159">
        <f>IF(M25="","",VLOOKUP($B$6,rekenwaarden!M$8:N$12,2))</f>
        <v>9.4499999999999993</v>
      </c>
      <c r="X25" s="160">
        <f t="shared" si="12"/>
        <v>1634.85</v>
      </c>
      <c r="Y25" s="160">
        <f t="shared" si="13"/>
        <v>13456.800000000001</v>
      </c>
      <c r="Z25" s="160">
        <f>IF(M25="","", VLOOKUP(B$6,rekenwaarden!M$8:T$12,3)*Q25)</f>
        <v>6617.4166666666661</v>
      </c>
      <c r="AA25" s="160">
        <f t="shared" si="14"/>
        <v>52939.333333333321</v>
      </c>
      <c r="AB25" s="160">
        <f>IF(M25="","", VLOOKUP($B$6,rekenwaarden!M$8:T$12,4)*Q25)</f>
        <v>11483.333333333332</v>
      </c>
      <c r="AC25" s="160">
        <f t="shared" si="15"/>
        <v>91866.666666666642</v>
      </c>
      <c r="AD25" s="160">
        <f t="shared" si="16"/>
        <v>24463.199999999997</v>
      </c>
      <c r="AE25" s="160">
        <f t="shared" si="17"/>
        <v>2985.1499999999978</v>
      </c>
      <c r="AF25" s="160">
        <f t="shared" si="23"/>
        <v>0</v>
      </c>
      <c r="AG25" s="160">
        <f t="shared" si="18"/>
        <v>0</v>
      </c>
      <c r="AH25" s="161">
        <f t="shared" ca="1" si="19"/>
        <v>886.58954999999935</v>
      </c>
      <c r="AI25" s="161">
        <f t="shared" ca="1" si="24"/>
        <v>0</v>
      </c>
      <c r="AJ25" s="161"/>
      <c r="AK25" s="161"/>
      <c r="AL25" s="164">
        <f t="shared" ca="1" si="25"/>
        <v>886.58954999999935</v>
      </c>
    </row>
    <row r="26" spans="1:38" s="113" customFormat="1" ht="15.65" customHeight="1" x14ac:dyDescent="0.25">
      <c r="A26" s="125"/>
      <c r="B26" s="126"/>
      <c r="C26" s="200"/>
      <c r="D26" s="163" t="str">
        <f t="shared" si="20"/>
        <v/>
      </c>
      <c r="E26" s="150" t="str">
        <f t="shared" si="20"/>
        <v/>
      </c>
      <c r="F26" s="151" t="str">
        <f t="shared" si="20"/>
        <v/>
      </c>
      <c r="G26" s="151" t="str">
        <f t="shared" si="20"/>
        <v/>
      </c>
      <c r="H26" s="188" t="str">
        <f t="shared" si="1"/>
        <v/>
      </c>
      <c r="I26" s="191" t="str">
        <f t="shared" si="2"/>
        <v/>
      </c>
      <c r="J26" s="188" t="str">
        <f>IF($E26="","",IF($E27="",SUM(H26:H$30),H26))</f>
        <v/>
      </c>
      <c r="K26" s="191" t="str">
        <f>IF($E26="","",IF($E27="",SUM(I26:I$30),I26))</f>
        <v/>
      </c>
      <c r="L26" s="152" t="str">
        <f t="shared" si="3"/>
        <v/>
      </c>
      <c r="M26" s="151" t="str">
        <f t="shared" si="4"/>
        <v/>
      </c>
      <c r="N26" s="151" t="str">
        <f t="shared" si="5"/>
        <v/>
      </c>
      <c r="O26" s="150" t="str">
        <f t="shared" si="21"/>
        <v/>
      </c>
      <c r="P26" s="153" t="str">
        <f t="shared" si="6"/>
        <v/>
      </c>
      <c r="Q26" s="154" t="str">
        <f t="shared" si="7"/>
        <v/>
      </c>
      <c r="R26" s="155" t="str">
        <f t="shared" si="8"/>
        <v/>
      </c>
      <c r="S26" s="156" t="str">
        <f t="shared" si="9"/>
        <v/>
      </c>
      <c r="T26" s="157" t="str">
        <f t="shared" si="10"/>
        <v/>
      </c>
      <c r="U26" s="157" t="str">
        <f t="shared" si="11"/>
        <v/>
      </c>
      <c r="V26" s="158" t="str">
        <f t="shared" si="22"/>
        <v/>
      </c>
      <c r="W26" s="159" t="str">
        <f>IF(M26="","",VLOOKUP($B$6,rekenwaarden!M$8:N$12,2))</f>
        <v/>
      </c>
      <c r="X26" s="160" t="str">
        <f t="shared" si="12"/>
        <v/>
      </c>
      <c r="Y26" s="160" t="str">
        <f t="shared" si="13"/>
        <v/>
      </c>
      <c r="Z26" s="160" t="str">
        <f>IF(M26="","", VLOOKUP(B$6,rekenwaarden!M$8:T$12,3)*Q26)</f>
        <v/>
      </c>
      <c r="AA26" s="160" t="str">
        <f t="shared" si="14"/>
        <v/>
      </c>
      <c r="AB26" s="160" t="str">
        <f>IF(M26="","", VLOOKUP($B$6,rekenwaarden!M$8:T$12,4)*Q26)</f>
        <v/>
      </c>
      <c r="AC26" s="160" t="str">
        <f t="shared" si="15"/>
        <v/>
      </c>
      <c r="AD26" s="160" t="str">
        <f t="shared" si="16"/>
        <v/>
      </c>
      <c r="AE26" s="160" t="str">
        <f t="shared" si="17"/>
        <v/>
      </c>
      <c r="AF26" s="160" t="str">
        <f t="shared" si="23"/>
        <v/>
      </c>
      <c r="AG26" s="160" t="str">
        <f t="shared" si="18"/>
        <v/>
      </c>
      <c r="AH26" s="161" t="str">
        <f t="shared" ca="1" si="19"/>
        <v/>
      </c>
      <c r="AI26" s="161" t="str">
        <f t="shared" ca="1" si="24"/>
        <v/>
      </c>
      <c r="AJ26" s="161"/>
      <c r="AK26" s="161"/>
      <c r="AL26" s="164" t="str">
        <f t="shared" si="25"/>
        <v/>
      </c>
    </row>
    <row r="27" spans="1:38" s="113" customFormat="1" ht="15.65" customHeight="1" x14ac:dyDescent="0.25">
      <c r="A27" s="125"/>
      <c r="B27" s="126"/>
      <c r="C27" s="200"/>
      <c r="D27" s="163" t="str">
        <f t="shared" si="20"/>
        <v/>
      </c>
      <c r="E27" s="150" t="str">
        <f t="shared" si="20"/>
        <v/>
      </c>
      <c r="F27" s="151" t="str">
        <f t="shared" si="20"/>
        <v/>
      </c>
      <c r="G27" s="151" t="str">
        <f t="shared" si="20"/>
        <v/>
      </c>
      <c r="H27" s="189" t="str">
        <f t="shared" si="1"/>
        <v/>
      </c>
      <c r="I27" s="192" t="str">
        <f t="shared" si="2"/>
        <v/>
      </c>
      <c r="J27" s="189" t="str">
        <f>IF($E27="","",IF($E28="",SUM(H27:H$30),H27))</f>
        <v/>
      </c>
      <c r="K27" s="192" t="str">
        <f>IF($E27="","",IF($E28="",SUM(I27:I$30),I27))</f>
        <v/>
      </c>
      <c r="L27" s="152" t="str">
        <f t="shared" si="3"/>
        <v/>
      </c>
      <c r="M27" s="151" t="str">
        <f t="shared" si="4"/>
        <v/>
      </c>
      <c r="N27" s="151" t="str">
        <f t="shared" si="5"/>
        <v/>
      </c>
      <c r="O27" s="150" t="str">
        <f t="shared" si="21"/>
        <v/>
      </c>
      <c r="P27" s="153" t="str">
        <f t="shared" si="6"/>
        <v/>
      </c>
      <c r="Q27" s="154" t="str">
        <f t="shared" si="7"/>
        <v/>
      </c>
      <c r="R27" s="155" t="str">
        <f t="shared" si="8"/>
        <v/>
      </c>
      <c r="S27" s="156" t="str">
        <f t="shared" si="9"/>
        <v/>
      </c>
      <c r="T27" s="157" t="str">
        <f t="shared" si="10"/>
        <v/>
      </c>
      <c r="U27" s="157" t="str">
        <f t="shared" si="11"/>
        <v/>
      </c>
      <c r="V27" s="158" t="str">
        <f t="shared" si="22"/>
        <v/>
      </c>
      <c r="W27" s="159" t="str">
        <f>IF(M27="","",VLOOKUP($B$6,rekenwaarden!M$8:N$12,2))</f>
        <v/>
      </c>
      <c r="X27" s="160" t="str">
        <f t="shared" si="12"/>
        <v/>
      </c>
      <c r="Y27" s="160" t="str">
        <f t="shared" si="13"/>
        <v/>
      </c>
      <c r="Z27" s="160" t="str">
        <f>IF(M27="","", VLOOKUP(B$6,rekenwaarden!M$8:T$12,3)*Q27)</f>
        <v/>
      </c>
      <c r="AA27" s="160" t="str">
        <f t="shared" si="14"/>
        <v/>
      </c>
      <c r="AB27" s="160" t="str">
        <f>IF(M27="","", VLOOKUP($B$6,rekenwaarden!M$8:T$12,4)*Q27)</f>
        <v/>
      </c>
      <c r="AC27" s="160" t="str">
        <f t="shared" si="15"/>
        <v/>
      </c>
      <c r="AD27" s="160" t="str">
        <f t="shared" si="16"/>
        <v/>
      </c>
      <c r="AE27" s="160" t="str">
        <f t="shared" si="17"/>
        <v/>
      </c>
      <c r="AF27" s="160" t="str">
        <f t="shared" si="23"/>
        <v/>
      </c>
      <c r="AG27" s="160" t="str">
        <f t="shared" si="18"/>
        <v/>
      </c>
      <c r="AH27" s="161" t="str">
        <f t="shared" ca="1" si="19"/>
        <v/>
      </c>
      <c r="AI27" s="161" t="str">
        <f t="shared" ca="1" si="24"/>
        <v/>
      </c>
      <c r="AJ27" s="161"/>
      <c r="AK27" s="161"/>
      <c r="AL27" s="164" t="str">
        <f t="shared" si="25"/>
        <v/>
      </c>
    </row>
    <row r="28" spans="1:38" s="113" customFormat="1" ht="15.65" customHeight="1" x14ac:dyDescent="0.25">
      <c r="A28" s="125"/>
      <c r="B28" s="126"/>
      <c r="C28" s="200"/>
      <c r="D28" s="163" t="str">
        <f t="shared" si="20"/>
        <v/>
      </c>
      <c r="E28" s="150" t="str">
        <f t="shared" si="20"/>
        <v/>
      </c>
      <c r="F28" s="151" t="str">
        <f t="shared" si="20"/>
        <v/>
      </c>
      <c r="G28" s="151" t="str">
        <f t="shared" si="20"/>
        <v/>
      </c>
      <c r="H28" s="188" t="str">
        <f t="shared" si="1"/>
        <v/>
      </c>
      <c r="I28" s="191" t="str">
        <f t="shared" si="2"/>
        <v/>
      </c>
      <c r="J28" s="188" t="str">
        <f>IF($E28="","",IF($E29="",SUM(H28:H$30),H28))</f>
        <v/>
      </c>
      <c r="K28" s="191" t="str">
        <f>IF($E28="","",IF($E29="",SUM(I28:I$30),I28))</f>
        <v/>
      </c>
      <c r="L28" s="152" t="str">
        <f t="shared" si="3"/>
        <v/>
      </c>
      <c r="M28" s="151" t="str">
        <f t="shared" si="4"/>
        <v/>
      </c>
      <c r="N28" s="151" t="str">
        <f t="shared" si="5"/>
        <v/>
      </c>
      <c r="O28" s="150" t="str">
        <f t="shared" si="21"/>
        <v/>
      </c>
      <c r="P28" s="153" t="str">
        <f t="shared" si="6"/>
        <v/>
      </c>
      <c r="Q28" s="154" t="str">
        <f t="shared" si="7"/>
        <v/>
      </c>
      <c r="R28" s="155" t="str">
        <f t="shared" si="8"/>
        <v/>
      </c>
      <c r="S28" s="156" t="str">
        <f t="shared" si="9"/>
        <v/>
      </c>
      <c r="T28" s="157" t="str">
        <f t="shared" si="10"/>
        <v/>
      </c>
      <c r="U28" s="157" t="str">
        <f t="shared" si="11"/>
        <v/>
      </c>
      <c r="V28" s="158" t="str">
        <f t="shared" si="22"/>
        <v/>
      </c>
      <c r="W28" s="159" t="str">
        <f>IF(M28="","",VLOOKUP($B$6,rekenwaarden!M$8:N$12,2))</f>
        <v/>
      </c>
      <c r="X28" s="160" t="str">
        <f t="shared" si="12"/>
        <v/>
      </c>
      <c r="Y28" s="160" t="str">
        <f t="shared" si="13"/>
        <v/>
      </c>
      <c r="Z28" s="160" t="str">
        <f>IF(M28="","", VLOOKUP(B$6,rekenwaarden!M$8:T$12,3)*Q28)</f>
        <v/>
      </c>
      <c r="AA28" s="160" t="str">
        <f t="shared" si="14"/>
        <v/>
      </c>
      <c r="AB28" s="160" t="str">
        <f>IF(M28="","", VLOOKUP($B$6,rekenwaarden!M$8:T$12,4)*Q28)</f>
        <v/>
      </c>
      <c r="AC28" s="160" t="str">
        <f t="shared" si="15"/>
        <v/>
      </c>
      <c r="AD28" s="160" t="str">
        <f t="shared" si="16"/>
        <v/>
      </c>
      <c r="AE28" s="160" t="str">
        <f t="shared" si="17"/>
        <v/>
      </c>
      <c r="AF28" s="160" t="str">
        <f t="shared" si="23"/>
        <v/>
      </c>
      <c r="AG28" s="160" t="str">
        <f t="shared" si="18"/>
        <v/>
      </c>
      <c r="AH28" s="161" t="str">
        <f t="shared" ca="1" si="19"/>
        <v/>
      </c>
      <c r="AI28" s="161" t="str">
        <f t="shared" ca="1" si="24"/>
        <v/>
      </c>
      <c r="AJ28" s="161"/>
      <c r="AK28" s="161"/>
      <c r="AL28" s="164" t="str">
        <f t="shared" si="25"/>
        <v/>
      </c>
    </row>
    <row r="29" spans="1:38" s="113" customFormat="1" ht="15.65" customHeight="1" x14ac:dyDescent="0.25">
      <c r="A29" s="125"/>
      <c r="B29" s="126"/>
      <c r="C29" s="200"/>
      <c r="D29" s="163" t="str">
        <f t="shared" si="20"/>
        <v/>
      </c>
      <c r="E29" s="150" t="str">
        <f t="shared" si="20"/>
        <v/>
      </c>
      <c r="F29" s="151" t="str">
        <f t="shared" si="20"/>
        <v/>
      </c>
      <c r="G29" s="151" t="str">
        <f t="shared" si="20"/>
        <v/>
      </c>
      <c r="H29" s="189" t="str">
        <f t="shared" si="1"/>
        <v/>
      </c>
      <c r="I29" s="192" t="str">
        <f t="shared" si="2"/>
        <v/>
      </c>
      <c r="J29" s="189" t="str">
        <f>IF($E29="","",IF($E30="",SUM(H29:H$30),H29))</f>
        <v/>
      </c>
      <c r="K29" s="192" t="str">
        <f>IF($E29="","",IF($E30="",SUM(I29:I$30),I29))</f>
        <v/>
      </c>
      <c r="L29" s="152" t="str">
        <f t="shared" si="3"/>
        <v/>
      </c>
      <c r="M29" s="151" t="str">
        <f t="shared" si="4"/>
        <v/>
      </c>
      <c r="N29" s="151" t="str">
        <f t="shared" si="5"/>
        <v/>
      </c>
      <c r="O29" s="150" t="str">
        <f t="shared" si="21"/>
        <v/>
      </c>
      <c r="P29" s="153" t="str">
        <f t="shared" si="6"/>
        <v/>
      </c>
      <c r="Q29" s="154" t="str">
        <f t="shared" si="7"/>
        <v/>
      </c>
      <c r="R29" s="155" t="str">
        <f t="shared" si="8"/>
        <v/>
      </c>
      <c r="S29" s="156" t="str">
        <f t="shared" si="9"/>
        <v/>
      </c>
      <c r="T29" s="157" t="str">
        <f t="shared" si="10"/>
        <v/>
      </c>
      <c r="U29" s="157" t="str">
        <f t="shared" si="11"/>
        <v/>
      </c>
      <c r="V29" s="158" t="str">
        <f t="shared" si="22"/>
        <v/>
      </c>
      <c r="W29" s="159" t="str">
        <f>IF(M29="","",VLOOKUP($B$6,rekenwaarden!M$8:N$12,2))</f>
        <v/>
      </c>
      <c r="X29" s="160" t="str">
        <f t="shared" si="12"/>
        <v/>
      </c>
      <c r="Y29" s="160" t="str">
        <f t="shared" si="13"/>
        <v/>
      </c>
      <c r="Z29" s="160" t="str">
        <f>IF(M29="","", VLOOKUP(B$6,rekenwaarden!M$8:T$12,3)*Q29)</f>
        <v/>
      </c>
      <c r="AA29" s="160" t="str">
        <f t="shared" si="14"/>
        <v/>
      </c>
      <c r="AB29" s="160" t="str">
        <f>IF(M29="","", VLOOKUP($B$6,rekenwaarden!M$8:T$12,4)*Q29)</f>
        <v/>
      </c>
      <c r="AC29" s="160" t="str">
        <f t="shared" si="15"/>
        <v/>
      </c>
      <c r="AD29" s="160" t="str">
        <f t="shared" si="16"/>
        <v/>
      </c>
      <c r="AE29" s="160" t="str">
        <f t="shared" si="17"/>
        <v/>
      </c>
      <c r="AF29" s="160" t="str">
        <f t="shared" si="23"/>
        <v/>
      </c>
      <c r="AG29" s="160" t="str">
        <f t="shared" si="18"/>
        <v/>
      </c>
      <c r="AH29" s="161" t="str">
        <f t="shared" ca="1" si="19"/>
        <v/>
      </c>
      <c r="AI29" s="161" t="str">
        <f t="shared" ca="1" si="24"/>
        <v/>
      </c>
      <c r="AJ29" s="161"/>
      <c r="AK29" s="161"/>
      <c r="AL29" s="164" t="str">
        <f t="shared" si="25"/>
        <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sheetData>
  <sheetProtection algorithmName="SHA-512" hashValue="Vj+O6B76iYKyPUTzGMpON88BEfaRBWmGFrmLqGkK5ca5kQMKb67bIemCyt+yTL9ReZ0KxSbV7+hqgOPvXV8P8Q==" saltValue="oNKW9EPCgtEVwhenIQ0ALw==" spinCount="100000" sheet="1" objects="1" scenarios="1"/>
  <protectedRanges>
    <protectedRange sqref="K2:U2 K4:U4 K3 M3:U3 K6:U6 K5 M5:U5 K8:U8 K7 M7:U7 K10:U14 K9 M9:U9" name="Loonaangiftebericht"/>
    <protectedRange sqref="B1:B9" name="Persoon en IKV"/>
    <protectedRange sqref="L3" name="Loonaangiftebericht_1"/>
    <protectedRange sqref="L5" name="Loonaangiftebericht_2"/>
    <protectedRange sqref="L7" name="Loonaangiftebericht_3"/>
    <protectedRange sqref="L9" name="Loonaangiftebericht_4"/>
  </protectedRanges>
  <mergeCells count="3">
    <mergeCell ref="A11:B11"/>
    <mergeCell ref="D17:E17"/>
    <mergeCell ref="A12:B25"/>
  </mergeCells>
  <dataValidations count="8">
    <dataValidation type="list" allowBlank="1" showInputMessage="1" showErrorMessage="1" sqref="B2" xr:uid="{0F80A8DD-53B5-4D3E-810F-8EF3F554CF96}">
      <formula1>"Maandelijks,Vierwekelijks"</formula1>
    </dataValidation>
    <dataValidation type="list" allowBlank="1" showInputMessage="1" showErrorMessage="1" sqref="B8:C8" xr:uid="{61752AD5-ED8B-44E7-B483-B8C0D6036D62}">
      <formula1>"WAAR,NIET WAAR"</formula1>
    </dataValidation>
    <dataValidation type="list" allowBlank="1" showInputMessage="1" showErrorMessage="1" sqref="B1:C1" xr:uid="{A741E96D-880C-43B8-8E13-27614CFFF645}">
      <formula1>"2027,2028"</formula1>
    </dataValidation>
    <dataValidation type="list" allowBlank="1" showInputMessage="1" showErrorMessage="1" sqref="C2" xr:uid="{C661AC2A-A56F-4C1A-974D-1005B8566786}">
      <formula1>"maandelijks,vierwekelijks"</formula1>
    </dataValidation>
    <dataValidation type="list" allowBlank="1" showInputMessage="1" showErrorMessage="1" sqref="L2:L14" xr:uid="{9C1F5F6E-5F6F-4F5F-B0F1-B9D033BA1DBD}">
      <formula1>Code_Soort_IKV</formula1>
    </dataValidation>
    <dataValidation type="list" allowBlank="1" showInputMessage="1" showErrorMessage="1" sqref="M2:M14" xr:uid="{5427FCFD-75FE-4DCA-97B8-3C89DFC3D32D}">
      <formula1>Code_Aard_Arbeidsverhouding</formula1>
    </dataValidation>
    <dataValidation type="list" allowBlank="1" showInputMessage="1" showErrorMessage="1" sqref="K2:K14" xr:uid="{0B52B3CB-C558-4337-BC61-A7DD59FD8791}">
      <formula1>Code_Reden_Einde_Arbeidsverhouding</formula1>
    </dataValidation>
    <dataValidation type="whole" allowBlank="1" showInputMessage="1" showErrorMessage="1" promptTitle="Handboek Loonheffingen: " prompt="Rekenkundig afgeronde hele uren" sqref="N2:N14" xr:uid="{7D9ACB57-29DE-417C-B1BE-1737A2F22562}">
      <formula1>-999</formula1>
      <formula2>999</formula2>
    </dataValidation>
  </dataValidations>
  <pageMargins left="0.7" right="0.7" top="0.75" bottom="0.75" header="0.3" footer="0.3"/>
  <ignoredErrors>
    <ignoredError sqref="L18:L30" unlockedFormula="1"/>
  </ignoredErrors>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F17729D3-73B5-444F-946D-38C08D8F63F5}">
          <x14:formula1>
            <xm:f>rekenwaarden!$M$8:$M$12</xm:f>
          </x14:formula1>
          <xm:sqref>B6:C6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61601-B89F-4C27-9DAB-7DB565E2F234}">
  <sheetPr>
    <tabColor theme="4" tint="0.79998168889431442"/>
  </sheetPr>
  <dimension ref="A1:AL30"/>
  <sheetViews>
    <sheetView showGridLines="0" zoomScale="90" zoomScaleNormal="90" workbookViewId="0">
      <pane xSplit="2" ySplit="30" topLeftCell="C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179687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8.1796875" customWidth="1"/>
    <col min="22" max="33" width="15.81640625" customWidth="1"/>
    <col min="34" max="34" width="19.453125" bestFit="1" customWidth="1"/>
    <col min="35" max="35" width="20.453125" customWidth="1"/>
    <col min="36" max="36" width="12.81640625" bestFit="1"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210" t="s">
        <v>18</v>
      </c>
      <c r="W1" s="211" t="s">
        <v>71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IF(OR(Datum_Einde_IKV="",Tabel13536[[#This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IF(Tabel13536[[#This Row],[Inkomsten-periode]]="","",DATEDIF(Geboortedatum,Tabel13536[[#This Row],[DatEindTv]],"Y"))</f>
        <v>33</v>
      </c>
      <c r="I2" s="146">
        <f>IF(Tabel13536[[#This Row],[Inkomsten-periode]]="","",IF(Datum_Aanvang_IKV="","",Datum_Aanvang_IKV))</f>
        <v>45658</v>
      </c>
      <c r="J2" s="146" t="str">
        <f>IF(Tabel13536[[#This Row],[Inkomsten-periode]]="","",IF(Datum_Einde_IKV="","",IF(Datum_Einde_IKV&lt;=Tabel13536[[#This Row],[DatEindTv]],Datum_Einde_IKV,"")))</f>
        <v/>
      </c>
      <c r="K2" s="138"/>
      <c r="L2" s="138">
        <v>15</v>
      </c>
      <c r="M2" s="138">
        <v>1</v>
      </c>
      <c r="N2" s="139">
        <v>173</v>
      </c>
      <c r="O2" s="140">
        <v>4000</v>
      </c>
      <c r="P2" s="140">
        <v>0</v>
      </c>
      <c r="Q2" s="140">
        <v>320</v>
      </c>
      <c r="R2" s="140">
        <v>0</v>
      </c>
      <c r="S2" s="140">
        <v>300</v>
      </c>
      <c r="T2" s="140">
        <v>4000</v>
      </c>
      <c r="U2" s="140"/>
      <c r="V2" s="184">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Row],[OpnAvwb]],0))))</f>
        <v>4620</v>
      </c>
      <c r="W2" s="185">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Row],[AantVerlU]],0))))</f>
        <v>173</v>
      </c>
      <c r="X2" s="184"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f>
        <v/>
      </c>
      <c r="Y2" s="185"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Row],[AantVerlU]],"")),"")</f>
        <v/>
      </c>
    </row>
    <row r="3" spans="1:38" s="113" customFormat="1" ht="16.399999999999999" customHeight="1" x14ac:dyDescent="0.25">
      <c r="A3" s="122" t="s">
        <v>21</v>
      </c>
      <c r="B3" s="133">
        <v>34162</v>
      </c>
      <c r="C3" s="202"/>
      <c r="D3" s="145">
        <f>IF(OR(Datum_Einde_IKV&gt;G2,Datum_Einde_IKV=""),IF(AND($B$2="Maandelijks", COUNTIF($D$1:D2, 12)=1), "",IF(OR(AND($B$2="Maandelijks", D2=12),AND($B$2="Vierwekelijks", D2=13), D2 = "Periode"), 1, D2+1)),"")</f>
        <v>2</v>
      </c>
      <c r="E3" s="145" t="str">
        <f>IF(OR(Datum_Einde_IKV="",Tabel13536[[#This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IF(Tabel13536[[#This Row],[Inkomsten-periode]]="","",DATEDIF(Geboortedatum,Tabel13536[[#This Row],[DatEindTv]],"Y"))</f>
        <v>33</v>
      </c>
      <c r="I3" s="146">
        <f>IF(Tabel13536[[#This Row],[Inkomsten-periode]]="","",IF(Datum_Aanvang_IKV="","",Datum_Aanvang_IKV))</f>
        <v>45658</v>
      </c>
      <c r="J3" s="146" t="str">
        <f>IF(Tabel13536[[#This Row],[Inkomsten-periode]]="","",IF(Datum_Einde_IKV="","",IF(Datum_Einde_IKV&lt;=Tabel13536[[#This Row],[DatEindTv]],Datum_Einde_IKV,"")))</f>
        <v/>
      </c>
      <c r="K3" s="141"/>
      <c r="L3" s="141">
        <v>15</v>
      </c>
      <c r="M3" s="141">
        <v>1</v>
      </c>
      <c r="N3" s="142">
        <v>173</v>
      </c>
      <c r="O3" s="143">
        <v>4000</v>
      </c>
      <c r="P3" s="143">
        <v>0</v>
      </c>
      <c r="Q3" s="143">
        <v>320</v>
      </c>
      <c r="R3" s="143">
        <v>0</v>
      </c>
      <c r="S3" s="143">
        <v>300</v>
      </c>
      <c r="T3" s="143">
        <v>4000</v>
      </c>
      <c r="U3" s="143"/>
      <c r="V3" s="184">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Row],[OpnAvwb]],0))))</f>
        <v>4620</v>
      </c>
      <c r="W3" s="186">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Row],[AantVerlU]],0))))</f>
        <v>173</v>
      </c>
      <c r="X3" s="184"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f>
        <v/>
      </c>
      <c r="Y3" s="186"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Row],[AantVerlU]],"")),"")</f>
        <v/>
      </c>
    </row>
    <row r="4" spans="1:38" s="113" customFormat="1" ht="16.399999999999999" customHeight="1" x14ac:dyDescent="0.25">
      <c r="A4" s="122" t="s">
        <v>22</v>
      </c>
      <c r="B4" s="134">
        <v>45658</v>
      </c>
      <c r="C4" s="202"/>
      <c r="D4" s="144">
        <f>IF(OR(Datum_Einde_IKV&gt;G3,Datum_Einde_IKV=""),IF(AND($B$2="Maandelijks", COUNTIF($D$1:D3, 12)=1), "",IF(OR(AND($B$2="Maandelijks", D3=12),AND($B$2="Vierwekelijks", D3=13), D3 = "Periode"), 1, D3+1)),"")</f>
        <v>3</v>
      </c>
      <c r="E4" s="145" t="str">
        <f>IF(OR(Datum_Einde_IKV="",Tabel13536[[#This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IF(Tabel13536[[#This Row],[Inkomsten-periode]]="","",DATEDIF(Geboortedatum,Tabel13536[[#This Row],[DatEindTv]],"Y"))</f>
        <v>33</v>
      </c>
      <c r="I4" s="146">
        <f>IF(Tabel13536[[#This Row],[Inkomsten-periode]]="","",IF(Datum_Aanvang_IKV="","",Datum_Aanvang_IKV))</f>
        <v>45658</v>
      </c>
      <c r="J4" s="146" t="str">
        <f>IF(Tabel13536[[#This Row],[Inkomsten-periode]]="","",IF(Datum_Einde_IKV="","",IF(Datum_Einde_IKV&lt;=Tabel13536[[#This Row],[DatEindTv]],Datum_Einde_IKV,"")))</f>
        <v/>
      </c>
      <c r="K4" s="138"/>
      <c r="L4" s="138">
        <v>15</v>
      </c>
      <c r="M4" s="138">
        <v>1</v>
      </c>
      <c r="N4" s="139">
        <v>173</v>
      </c>
      <c r="O4" s="140">
        <v>4000</v>
      </c>
      <c r="P4" s="140">
        <v>0</v>
      </c>
      <c r="Q4" s="140">
        <v>320</v>
      </c>
      <c r="R4" s="140">
        <v>0</v>
      </c>
      <c r="S4" s="140">
        <v>300</v>
      </c>
      <c r="T4" s="140">
        <v>4000</v>
      </c>
      <c r="U4" s="140"/>
      <c r="V4" s="184">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Row],[OpnAvwb]],0))))</f>
        <v>4620</v>
      </c>
      <c r="W4" s="186">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Row],[AantVerlU]],0))))</f>
        <v>173</v>
      </c>
      <c r="X4" s="184"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f>
        <v/>
      </c>
      <c r="Y4" s="186"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Row],[AantVerlU]],"")),"")</f>
        <v/>
      </c>
    </row>
    <row r="5" spans="1:38" s="113" customFormat="1" ht="16.399999999999999" customHeight="1" x14ac:dyDescent="0.25">
      <c r="A5" s="122" t="s">
        <v>23</v>
      </c>
      <c r="B5" s="133"/>
      <c r="C5" s="202"/>
      <c r="D5" s="145">
        <f>IF(OR(Datum_Einde_IKV&gt;G4,Datum_Einde_IKV=""),IF(AND($B$2="Maandelijks", COUNTIF($D$1:D4, 12)=1), "",IF(OR(AND($B$2="Maandelijks", D4=12),AND($B$2="Vierwekelijks", D4=13), D4 = "Periode"), 1, D4+1)),"")</f>
        <v>4</v>
      </c>
      <c r="E5" s="145" t="str">
        <f>IF(OR(Datum_Einde_IKV="",Tabel13536[[#This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IF(Tabel13536[[#This Row],[Inkomsten-periode]]="","",DATEDIF(Geboortedatum,Tabel13536[[#This Row],[DatEindTv]],"Y"))</f>
        <v>33</v>
      </c>
      <c r="I5" s="146">
        <f>IF(Tabel13536[[#This Row],[Inkomsten-periode]]="","",IF(Datum_Aanvang_IKV="","",Datum_Aanvang_IKV))</f>
        <v>45658</v>
      </c>
      <c r="J5" s="146" t="str">
        <f>IF(Tabel13536[[#This Row],[Inkomsten-periode]]="","",IF(Datum_Einde_IKV="","",IF(Datum_Einde_IKV&lt;=Tabel13536[[#This Row],[DatEindTv]],Datum_Einde_IKV,"")))</f>
        <v/>
      </c>
      <c r="K5" s="141"/>
      <c r="L5" s="141">
        <v>15</v>
      </c>
      <c r="M5" s="141">
        <v>1</v>
      </c>
      <c r="N5" s="142">
        <v>93</v>
      </c>
      <c r="O5" s="143">
        <v>2150</v>
      </c>
      <c r="P5" s="143">
        <v>0</v>
      </c>
      <c r="Q5" s="143">
        <v>320</v>
      </c>
      <c r="R5" s="143">
        <v>0</v>
      </c>
      <c r="S5" s="143">
        <v>300</v>
      </c>
      <c r="T5" s="143">
        <v>2150</v>
      </c>
      <c r="U5" s="143"/>
      <c r="V5" s="184">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Row],[OpnAvwb]],0))))</f>
        <v>2770</v>
      </c>
      <c r="W5" s="186">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Row],[AantVerlU]],0))))</f>
        <v>93</v>
      </c>
      <c r="X5" s="184"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f>
        <v/>
      </c>
      <c r="Y5" s="186"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Row],[AantVerlU]],"")),"")</f>
        <v/>
      </c>
    </row>
    <row r="6" spans="1:38" s="113" customFormat="1" ht="16.399999999999999" customHeight="1" x14ac:dyDescent="0.25">
      <c r="A6" s="122" t="s">
        <v>24</v>
      </c>
      <c r="B6" s="135" t="s">
        <v>25</v>
      </c>
      <c r="C6" s="203"/>
      <c r="D6" s="144">
        <f>IF(OR(Datum_Einde_IKV&gt;G5,Datum_Einde_IKV=""),IF(AND($B$2="Maandelijks", COUNTIF($D$1:D5, 12)=1), "",IF(OR(AND($B$2="Maandelijks", D5=12),AND($B$2="Vierwekelijks", D5=13), D5 = "Periode"), 1, D5+1)),"")</f>
        <v>5</v>
      </c>
      <c r="E6" s="145" t="str">
        <f>IF(OR(Datum_Einde_IKV="",Tabel13536[[#This Row],[DatAanvTv]]&lt;Datum_Einde_IKV),IF(E5="december","",IF(Verloningsperiodiciteit="maandelijks",rekenwaarden!F7,_xlfn.CONCAT("Periode ",rekenwaarden!E7))),"")</f>
        <v>mei</v>
      </c>
      <c r="F6" s="146">
        <f t="shared" si="0"/>
        <v>46508</v>
      </c>
      <c r="G6" s="146">
        <f>IF(F6="", "", IF(Verloningsperiodiciteit="Vierwekelijks", _xlfn.XLOOKUP(F6,rekenwaarden!$C$3:$C$54,rekenwaarden!$D$3:$D$54,"niet gevonden",-1), _xlfn.XLOOKUP(F6,rekenwaarden!$I$3:$I$54,rekenwaarden!$J$3:$J$54,"niet gevonden",-1)))</f>
        <v>46538</v>
      </c>
      <c r="H6" s="147">
        <f>IF(Tabel13536[[#This Row],[Inkomsten-periode]]="","",DATEDIF(Geboortedatum,Tabel13536[[#This Row],[DatEindTv]],"Y"))</f>
        <v>33</v>
      </c>
      <c r="I6" s="146">
        <f>IF(Tabel13536[[#This Row],[Inkomsten-periode]]="","",IF(Datum_Aanvang_IKV="","",Datum_Aanvang_IKV))</f>
        <v>45658</v>
      </c>
      <c r="J6" s="146" t="str">
        <f>IF(Tabel13536[[#This Row],[Inkomsten-periode]]="","",IF(Datum_Einde_IKV="","",IF(Datum_Einde_IKV&lt;=Tabel13536[[#This Row],[DatEindTv]],Datum_Einde_IKV,"")))</f>
        <v/>
      </c>
      <c r="K6" s="138"/>
      <c r="L6" s="138">
        <v>15</v>
      </c>
      <c r="M6" s="138">
        <v>1</v>
      </c>
      <c r="N6" s="139">
        <v>173</v>
      </c>
      <c r="O6" s="140">
        <v>7840</v>
      </c>
      <c r="P6" s="140">
        <v>3840</v>
      </c>
      <c r="Q6" s="140">
        <v>320</v>
      </c>
      <c r="R6" s="140">
        <v>0</v>
      </c>
      <c r="S6" s="140">
        <v>300</v>
      </c>
      <c r="T6" s="140">
        <v>7840</v>
      </c>
      <c r="U6" s="140"/>
      <c r="V6" s="184">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Row],[OpnAvwb]],0))))</f>
        <v>4620</v>
      </c>
      <c r="W6" s="186">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Row],[AantVerlU]],0))))</f>
        <v>173</v>
      </c>
      <c r="X6" s="184"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f>
        <v/>
      </c>
      <c r="Y6" s="186"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Row],[AantVerlU]],"")),"")</f>
        <v/>
      </c>
    </row>
    <row r="7" spans="1:38" s="113" customFormat="1" ht="16.399999999999999" customHeight="1" x14ac:dyDescent="0.25">
      <c r="A7" s="122" t="s">
        <v>26</v>
      </c>
      <c r="B7" s="136">
        <f>VLOOKUP(B6,rekenwaarden!M8:T12,8)</f>
        <v>40</v>
      </c>
      <c r="C7" s="204"/>
      <c r="D7" s="145">
        <f>IF(OR(Datum_Einde_IKV&gt;G6,Datum_Einde_IKV=""),IF(AND($B$2="Maandelijks", COUNTIF($D$1:D6, 12)=1), "",IF(OR(AND($B$2="Maandelijks", D6=12),AND($B$2="Vierwekelijks", D6=13), D6 = "Periode"), 1, D6+1)),"")</f>
        <v>6</v>
      </c>
      <c r="E7" s="145" t="str">
        <f>IF(OR(Datum_Einde_IKV="",Tabel13536[[#This Row],[DatAanvTv]]&lt;Datum_Einde_IKV),IF(E6="december","",IF(Verloningsperiodiciteit="maandelijks",rekenwaarden!F8,_xlfn.CONCAT("Periode ",rekenwaarden!E8))),"")</f>
        <v>juni</v>
      </c>
      <c r="F7" s="146">
        <f t="shared" si="0"/>
        <v>46539</v>
      </c>
      <c r="G7" s="146">
        <f>IF(F7="", "", IF(Verloningsperiodiciteit="Vierwekelijks", _xlfn.XLOOKUP(F7,rekenwaarden!$C$3:$C$54,rekenwaarden!$D$3:$D$54,"niet gevonden",-1), _xlfn.XLOOKUP(F7,rekenwaarden!$I$3:$I$54,rekenwaarden!$J$3:$J$54,"niet gevonden",-1)))</f>
        <v>46568</v>
      </c>
      <c r="H7" s="147">
        <f>IF(Tabel13536[[#This Row],[Inkomsten-periode]]="","",DATEDIF(Geboortedatum,Tabel13536[[#This Row],[DatEindTv]],"Y"))</f>
        <v>33</v>
      </c>
      <c r="I7" s="146">
        <f>IF(Tabel13536[[#This Row],[Inkomsten-periode]]="","",IF(Datum_Aanvang_IKV="","",Datum_Aanvang_IKV))</f>
        <v>45658</v>
      </c>
      <c r="J7" s="146" t="str">
        <f>IF(Tabel13536[[#This Row],[Inkomsten-periode]]="","",IF(Datum_Einde_IKV="","",IF(Datum_Einde_IKV&lt;=Tabel13536[[#This Row],[DatEindTv]],Datum_Einde_IKV,"")))</f>
        <v/>
      </c>
      <c r="K7" s="141"/>
      <c r="L7" s="141">
        <v>15</v>
      </c>
      <c r="M7" s="141">
        <v>1</v>
      </c>
      <c r="N7" s="142">
        <v>173</v>
      </c>
      <c r="O7" s="143">
        <v>4000</v>
      </c>
      <c r="P7" s="143">
        <v>0</v>
      </c>
      <c r="Q7" s="143">
        <v>320</v>
      </c>
      <c r="R7" s="143">
        <v>0</v>
      </c>
      <c r="S7" s="143">
        <v>300</v>
      </c>
      <c r="T7" s="143">
        <v>4000</v>
      </c>
      <c r="U7" s="143"/>
      <c r="V7" s="184">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Row],[OpnAvwb]],0))))</f>
        <v>4620</v>
      </c>
      <c r="W7" s="186">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Row],[AantVerlU]],0))))</f>
        <v>173</v>
      </c>
      <c r="X7" s="184"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f>
        <v/>
      </c>
      <c r="Y7" s="186"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Row],[AantVerlU]],"")),"")</f>
        <v/>
      </c>
    </row>
    <row r="8" spans="1:38" s="113" customFormat="1" ht="16.399999999999999" customHeight="1" x14ac:dyDescent="0.25">
      <c r="A8" s="122" t="s">
        <v>27</v>
      </c>
      <c r="B8" s="137" t="b">
        <v>1</v>
      </c>
      <c r="C8" s="202"/>
      <c r="D8" s="144">
        <f>IF(OR(Datum_Einde_IKV&gt;G7,Datum_Einde_IKV=""),IF(AND($B$2="Maandelijks", COUNTIF($D$1:D7, 12)=1), "",IF(OR(AND($B$2="Maandelijks", D7=12),AND($B$2="Vierwekelijks", D7=13), D7 = "Periode"), 1, D7+1)),"")</f>
        <v>7</v>
      </c>
      <c r="E8" s="145" t="str">
        <f>IF(OR(Datum_Einde_IKV="",Tabel13536[[#This Row],[DatAanvTv]]&lt;Datum_Einde_IKV),IF(E7="december","",IF(Verloningsperiodiciteit="maandelijks",rekenwaarden!F9,_xlfn.CONCAT("Periode ",rekenwaarden!E9))),"")</f>
        <v>juli</v>
      </c>
      <c r="F8" s="146">
        <f t="shared" si="0"/>
        <v>46569</v>
      </c>
      <c r="G8" s="146">
        <f>IF(F8="", "", IF(Verloningsperiodiciteit="Vierwekelijks", _xlfn.XLOOKUP(F8,rekenwaarden!$C$3:$C$54,rekenwaarden!$D$3:$D$54,"niet gevonden",-1), _xlfn.XLOOKUP(F8,rekenwaarden!$I$3:$I$54,rekenwaarden!$J$3:$J$54,"niet gevonden",-1)))</f>
        <v>46599</v>
      </c>
      <c r="H8" s="147">
        <f>IF(Tabel13536[[#This Row],[Inkomsten-periode]]="","",DATEDIF(Geboortedatum,Tabel13536[[#This Row],[DatEindTv]],"Y"))</f>
        <v>34</v>
      </c>
      <c r="I8" s="146">
        <f>IF(Tabel13536[[#This Row],[Inkomsten-periode]]="","",IF(Datum_Aanvang_IKV="","",Datum_Aanvang_IKV))</f>
        <v>45658</v>
      </c>
      <c r="J8" s="146" t="str">
        <f>IF(Tabel13536[[#This Row],[Inkomsten-periode]]="","",IF(Datum_Einde_IKV="","",IF(Datum_Einde_IKV&lt;=Tabel13536[[#This Row],[DatEindTv]],Datum_Einde_IKV,"")))</f>
        <v/>
      </c>
      <c r="K8" s="138"/>
      <c r="L8" s="138">
        <v>15</v>
      </c>
      <c r="M8" s="138">
        <v>1</v>
      </c>
      <c r="N8" s="139">
        <v>173</v>
      </c>
      <c r="O8" s="140">
        <v>4000</v>
      </c>
      <c r="P8" s="140">
        <v>0</v>
      </c>
      <c r="Q8" s="140">
        <v>320</v>
      </c>
      <c r="R8" s="140">
        <v>0</v>
      </c>
      <c r="S8" s="140">
        <v>300</v>
      </c>
      <c r="T8" s="140">
        <v>4000</v>
      </c>
      <c r="U8" s="140"/>
      <c r="V8" s="184">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Row],[OpnAvwb]],0))))</f>
        <v>4620</v>
      </c>
      <c r="W8" s="186">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Row],[AantVerlU]],0))))</f>
        <v>173</v>
      </c>
      <c r="X8" s="184"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f>
        <v/>
      </c>
      <c r="Y8" s="186"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Row],[AantVerlU]],"")),"")</f>
        <v/>
      </c>
    </row>
    <row r="9" spans="1:38" s="113" customFormat="1" ht="16.399999999999999" customHeight="1" x14ac:dyDescent="0.25">
      <c r="A9" s="122"/>
      <c r="B9" s="131"/>
      <c r="C9" s="200"/>
      <c r="D9" s="145">
        <f>IF(OR(Datum_Einde_IKV&gt;G8,Datum_Einde_IKV=""),IF(AND($B$2="Maandelijks", COUNTIF($D$1:D8, 12)=1), "",IF(OR(AND($B$2="Maandelijks", D8=12),AND($B$2="Vierwekelijks", D8=13), D8 = "Periode"), 1, D8+1)),"")</f>
        <v>8</v>
      </c>
      <c r="E9" s="145" t="str">
        <f>IF(OR(Datum_Einde_IKV="",Tabel13536[[#This Row],[DatAanvTv]]&lt;Datum_Einde_IKV),IF(E8="december","",IF(Verloningsperiodiciteit="maandelijks",rekenwaarden!F10,_xlfn.CONCAT("Periode ",rekenwaarden!E10))),"")</f>
        <v>augustus</v>
      </c>
      <c r="F9" s="146">
        <f t="shared" si="0"/>
        <v>46600</v>
      </c>
      <c r="G9" s="146">
        <f>IF(F9="", "", IF(Verloningsperiodiciteit="Vierwekelijks", _xlfn.XLOOKUP(F9,rekenwaarden!$C$3:$C$54,rekenwaarden!$D$3:$D$54,"niet gevonden",-1), _xlfn.XLOOKUP(F9,rekenwaarden!$I$3:$I$54,rekenwaarden!$J$3:$J$54,"niet gevonden",-1)))</f>
        <v>46630</v>
      </c>
      <c r="H9" s="147">
        <f>IF(Tabel13536[[#This Row],[Inkomsten-periode]]="","",DATEDIF(Geboortedatum,Tabel13536[[#This Row],[DatEindTv]],"Y"))</f>
        <v>34</v>
      </c>
      <c r="I9" s="146">
        <f>IF(Tabel13536[[#This Row],[Inkomsten-periode]]="","",IF(Datum_Aanvang_IKV="","",Datum_Aanvang_IKV))</f>
        <v>45658</v>
      </c>
      <c r="J9" s="146" t="str">
        <f>IF(Tabel13536[[#This Row],[Inkomsten-periode]]="","",IF(Datum_Einde_IKV="","",IF(Datum_Einde_IKV&lt;=Tabel13536[[#This Row],[DatEindTv]],Datum_Einde_IKV,"")))</f>
        <v/>
      </c>
      <c r="K9" s="141"/>
      <c r="L9" s="141">
        <v>15</v>
      </c>
      <c r="M9" s="141">
        <v>1</v>
      </c>
      <c r="N9" s="142">
        <v>173</v>
      </c>
      <c r="O9" s="143">
        <v>4000</v>
      </c>
      <c r="P9" s="143">
        <v>0</v>
      </c>
      <c r="Q9" s="143">
        <v>320</v>
      </c>
      <c r="R9" s="143">
        <v>0</v>
      </c>
      <c r="S9" s="143">
        <v>300</v>
      </c>
      <c r="T9" s="143">
        <v>4000</v>
      </c>
      <c r="U9" s="143"/>
      <c r="V9" s="184">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Row],[OpnAvwb]],0))))</f>
        <v>4620</v>
      </c>
      <c r="W9" s="186">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Row],[AantVerlU]],0))))</f>
        <v>173</v>
      </c>
      <c r="X9" s="184"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f>
        <v/>
      </c>
      <c r="Y9" s="186"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Row],[AantVerlU]],"")),"")</f>
        <v/>
      </c>
    </row>
    <row r="10" spans="1:38" s="113" customFormat="1" ht="16.399999999999999" customHeight="1" thickBot="1" x14ac:dyDescent="0.3">
      <c r="A10" s="200"/>
      <c r="B10" s="200"/>
      <c r="C10" s="200"/>
      <c r="D10" s="144">
        <f>IF(OR(Datum_Einde_IKV&gt;G9,Datum_Einde_IKV=""),IF(AND($B$2="Maandelijks", COUNTIF($D$1:D9, 12)=1), "",IF(OR(AND($B$2="Maandelijks", D9=12),AND($B$2="Vierwekelijks", D9=13), D9 = "Periode"), 1, D9+1)),"")</f>
        <v>9</v>
      </c>
      <c r="E10" s="145" t="str">
        <f>IF(OR(Datum_Einde_IKV="",Tabel13536[[#This Row],[DatAanvTv]]&lt;Datum_Einde_IKV),IF(E9="december","",IF(Verloningsperiodiciteit="maandelijks",rekenwaarden!F11,_xlfn.CONCAT("Periode ",rekenwaarden!E11))),"")</f>
        <v>september</v>
      </c>
      <c r="F10" s="146">
        <f t="shared" si="0"/>
        <v>46631</v>
      </c>
      <c r="G10" s="146">
        <f>IF(F10="", "", IF(Verloningsperiodiciteit="Vierwekelijks", _xlfn.XLOOKUP(F10,rekenwaarden!$C$3:$C$54,rekenwaarden!$D$3:$D$54,"niet gevonden",-1), _xlfn.XLOOKUP(F10,rekenwaarden!$I$3:$I$54,rekenwaarden!$J$3:$J$54,"niet gevonden",-1)))</f>
        <v>46660</v>
      </c>
      <c r="H10" s="147">
        <f>IF(Tabel13536[[#This Row],[Inkomsten-periode]]="","",DATEDIF(Geboortedatum,Tabel13536[[#This Row],[DatEindTv]],"Y"))</f>
        <v>34</v>
      </c>
      <c r="I10" s="146">
        <f>IF(Tabel13536[[#This Row],[Inkomsten-periode]]="","",IF(Datum_Aanvang_IKV="","",Datum_Aanvang_IKV))</f>
        <v>45658</v>
      </c>
      <c r="J10" s="146" t="str">
        <f>IF(Tabel13536[[#This Row],[Inkomsten-periode]]="","",IF(Datum_Einde_IKV="","",IF(Datum_Einde_IKV&lt;=Tabel13536[[#This Row],[DatEindTv]],Datum_Einde_IKV,"")))</f>
        <v/>
      </c>
      <c r="K10" s="138"/>
      <c r="L10" s="138">
        <v>15</v>
      </c>
      <c r="M10" s="138">
        <v>1</v>
      </c>
      <c r="N10" s="139">
        <v>173</v>
      </c>
      <c r="O10" s="140">
        <v>4000</v>
      </c>
      <c r="P10" s="140">
        <v>0</v>
      </c>
      <c r="Q10" s="140">
        <v>320</v>
      </c>
      <c r="R10" s="140">
        <v>0</v>
      </c>
      <c r="S10" s="140">
        <v>300</v>
      </c>
      <c r="T10" s="140">
        <v>4000</v>
      </c>
      <c r="U10" s="140"/>
      <c r="V10" s="184">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Row],[OpnAvwb]],0))))</f>
        <v>4620</v>
      </c>
      <c r="W10" s="186">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Row],[AantVerlU]],0))))</f>
        <v>173</v>
      </c>
      <c r="X10" s="184"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f>
        <v/>
      </c>
      <c r="Y10" s="186"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Row],[AantVerlU]],"")),"")</f>
        <v/>
      </c>
    </row>
    <row r="11" spans="1:38" s="113" customFormat="1" ht="16.399999999999999" customHeight="1" x14ac:dyDescent="0.25">
      <c r="A11" s="245" t="s">
        <v>65</v>
      </c>
      <c r="B11" s="246"/>
      <c r="C11" s="200"/>
      <c r="D11" s="145">
        <f>IF(OR(Datum_Einde_IKV&gt;G10,Datum_Einde_IKV=""),IF(AND($B$2="Maandelijks", COUNTIF($D$1:D10, 12)=1), "",IF(OR(AND($B$2="Maandelijks", D10=12),AND($B$2="Vierwekelijks", D10=13), D10 = "Periode"), 1, D10+1)),"")</f>
        <v>10</v>
      </c>
      <c r="E11" s="145" t="str">
        <f>IF(OR(Datum_Einde_IKV="",Tabel13536[[#This Row],[DatAanvTv]]&lt;Datum_Einde_IKV),IF(E10="december","",IF(Verloningsperiodiciteit="maandelijks",rekenwaarden!F12,_xlfn.CONCAT("Periode ",rekenwaarden!E12))),"")</f>
        <v>oktober</v>
      </c>
      <c r="F11" s="146">
        <f t="shared" si="0"/>
        <v>46661</v>
      </c>
      <c r="G11" s="146">
        <f>IF(F11="", "", IF(Verloningsperiodiciteit="Vierwekelijks", _xlfn.XLOOKUP(F11,rekenwaarden!$C$3:$C$54,rekenwaarden!$D$3:$D$54,"niet gevonden",-1), _xlfn.XLOOKUP(F11,rekenwaarden!$I$3:$I$54,rekenwaarden!$J$3:$J$54,"niet gevonden",-1)))</f>
        <v>46691</v>
      </c>
      <c r="H11" s="147">
        <f>IF(Tabel13536[[#This Row],[Inkomsten-periode]]="","",DATEDIF(Geboortedatum,Tabel13536[[#This Row],[DatEindTv]],"Y"))</f>
        <v>34</v>
      </c>
      <c r="I11" s="146">
        <f>IF(Tabel13536[[#This Row],[Inkomsten-periode]]="","",IF(Datum_Aanvang_IKV="","",Datum_Aanvang_IKV))</f>
        <v>45658</v>
      </c>
      <c r="J11" s="146" t="str">
        <f>IF(Tabel13536[[#This Row],[Inkomsten-periode]]="","",IF(Datum_Einde_IKV="","",IF(Datum_Einde_IKV&lt;=Tabel13536[[#This Row],[DatEindTv]],Datum_Einde_IKV,"")))</f>
        <v/>
      </c>
      <c r="K11" s="141"/>
      <c r="L11" s="141">
        <v>15</v>
      </c>
      <c r="M11" s="141">
        <v>1</v>
      </c>
      <c r="N11" s="142">
        <v>173</v>
      </c>
      <c r="O11" s="143">
        <v>4000</v>
      </c>
      <c r="P11" s="143">
        <v>0</v>
      </c>
      <c r="Q11" s="143">
        <v>320</v>
      </c>
      <c r="R11" s="143">
        <v>0</v>
      </c>
      <c r="S11" s="143">
        <v>300</v>
      </c>
      <c r="T11" s="143">
        <v>4000</v>
      </c>
      <c r="U11" s="143"/>
      <c r="V11" s="184">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Row],[OpnAvwb]],0))))</f>
        <v>4620</v>
      </c>
      <c r="W11" s="186">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Row],[AantVerlU]],0))))</f>
        <v>173</v>
      </c>
      <c r="X11" s="184"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f>
        <v/>
      </c>
      <c r="Y11" s="186"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Row],[AantVerlU]],"")),"")</f>
        <v/>
      </c>
    </row>
    <row r="12" spans="1:38" s="113" customFormat="1" ht="16.399999999999999" customHeight="1" x14ac:dyDescent="0.25">
      <c r="A12" s="249" t="s">
        <v>175</v>
      </c>
      <c r="B12" s="250"/>
      <c r="C12" s="200"/>
      <c r="D12" s="144">
        <f>IF(OR(Datum_Einde_IKV&gt;G11,Datum_Einde_IKV=""),IF(AND($B$2="Maandelijks", COUNTIF($D$1:D11, 12)=1), "",IF(OR(AND($B$2="Maandelijks", D11=12),AND($B$2="Vierwekelijks", D11=13), D11 = "Periode"), 1, D11+1)),"")</f>
        <v>11</v>
      </c>
      <c r="E12" s="145" t="str">
        <f>IF(OR(Datum_Einde_IKV="",Tabel13536[[#This Row],[DatAanvTv]]&lt;Datum_Einde_IKV),IF(E11="december","",IF(Verloningsperiodiciteit="maandelijks",rekenwaarden!F13,_xlfn.CONCAT("Periode ",rekenwaarden!E13))),"")</f>
        <v>november</v>
      </c>
      <c r="F12" s="146">
        <f t="shared" si="0"/>
        <v>46692</v>
      </c>
      <c r="G12" s="146">
        <f>IF(F12="", "", IF(Verloningsperiodiciteit="Vierwekelijks", _xlfn.XLOOKUP(F12,rekenwaarden!$C$3:$C$54,rekenwaarden!$D$3:$D$54,"niet gevonden",-1), _xlfn.XLOOKUP(F12,rekenwaarden!$I$3:$I$54,rekenwaarden!$J$3:$J$54,"niet gevonden",-1)))</f>
        <v>46721</v>
      </c>
      <c r="H12" s="147">
        <f>IF(Tabel13536[[#This Row],[Inkomsten-periode]]="","",DATEDIF(Geboortedatum,Tabel13536[[#This Row],[DatEindTv]],"Y"))</f>
        <v>34</v>
      </c>
      <c r="I12" s="146">
        <f>IF(Tabel13536[[#This Row],[Inkomsten-periode]]="","",IF(Datum_Aanvang_IKV="","",Datum_Aanvang_IKV))</f>
        <v>45658</v>
      </c>
      <c r="J12" s="146" t="str">
        <f>IF(Tabel13536[[#This Row],[Inkomsten-periode]]="","",IF(Datum_Einde_IKV="","",IF(Datum_Einde_IKV&lt;=Tabel13536[[#This Row],[DatEindTv]],Datum_Einde_IKV,"")))</f>
        <v/>
      </c>
      <c r="K12" s="138"/>
      <c r="L12" s="138">
        <v>15</v>
      </c>
      <c r="M12" s="138">
        <v>1</v>
      </c>
      <c r="N12" s="139">
        <v>173</v>
      </c>
      <c r="O12" s="140">
        <v>4000</v>
      </c>
      <c r="P12" s="140">
        <v>0</v>
      </c>
      <c r="Q12" s="140">
        <v>320</v>
      </c>
      <c r="R12" s="140">
        <v>0</v>
      </c>
      <c r="S12" s="140">
        <v>300</v>
      </c>
      <c r="T12" s="140">
        <v>4000</v>
      </c>
      <c r="U12" s="140"/>
      <c r="V12" s="184">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Row],[OpnAvwb]],0))))</f>
        <v>4620</v>
      </c>
      <c r="W12" s="186">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Row],[AantVerlU]],0))))</f>
        <v>173</v>
      </c>
      <c r="X12" s="184"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f>
        <v/>
      </c>
      <c r="Y12" s="186"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Row],[AantVerlU]],"")),"")</f>
        <v/>
      </c>
    </row>
    <row r="13" spans="1:38" s="113" customFormat="1" ht="16.399999999999999" customHeight="1" x14ac:dyDescent="0.25">
      <c r="A13" s="249"/>
      <c r="B13" s="250"/>
      <c r="C13" s="200"/>
      <c r="D13" s="145">
        <f>IF(OR(Datum_Einde_IKV&gt;G12,Datum_Einde_IKV=""),IF(AND($B$2="Maandelijks", COUNTIF($D$1:D12, 12)=1), "",IF(OR(AND($B$2="Maandelijks", D12=12),AND($B$2="Vierwekelijks", D12=13), D12 = "Periode"), 1, D12+1)),"")</f>
        <v>12</v>
      </c>
      <c r="E13" s="145" t="str">
        <f>IF(OR(Datum_Einde_IKV="",Tabel13536[[#This Row],[DatAanvTv]]&lt;Datum_Einde_IKV),IF(E12="december","",IF(Verloningsperiodiciteit="maandelijks",rekenwaarden!F14,_xlfn.CONCAT("Periode ",rekenwaarden!E14))),"")</f>
        <v>december</v>
      </c>
      <c r="F13" s="146">
        <f t="shared" si="0"/>
        <v>46722</v>
      </c>
      <c r="G13" s="146">
        <f>IF(F13="", "", IF(Verloningsperiodiciteit="Vierwekelijks", _xlfn.XLOOKUP(F13,rekenwaarden!$C$3:$C$54,rekenwaarden!$D$3:$D$54,"niet gevonden",-1), _xlfn.XLOOKUP(F13,rekenwaarden!$I$3:$I$54,rekenwaarden!$J$3:$J$54,"niet gevonden",-1)))</f>
        <v>46752</v>
      </c>
      <c r="H13" s="147">
        <f>IF(Tabel13536[[#This Row],[Inkomsten-periode]]="","",DATEDIF(Geboortedatum,Tabel13536[[#This Row],[DatEindTv]],"Y"))</f>
        <v>34</v>
      </c>
      <c r="I13" s="146">
        <f>IF(Tabel13536[[#This Row],[Inkomsten-periode]]="","",IF(Datum_Aanvang_IKV="","",Datum_Aanvang_IKV))</f>
        <v>45658</v>
      </c>
      <c r="J13" s="146" t="str">
        <f>IF(Tabel13536[[#This Row],[Inkomsten-periode]]="","",IF(Datum_Einde_IKV="","",IF(Datum_Einde_IKV&lt;=Tabel13536[[#This Row],[DatEindTv]],Datum_Einde_IKV,"")))</f>
        <v/>
      </c>
      <c r="K13" s="141"/>
      <c r="L13" s="141">
        <v>15</v>
      </c>
      <c r="M13" s="141">
        <v>1</v>
      </c>
      <c r="N13" s="142">
        <v>173</v>
      </c>
      <c r="O13" s="143">
        <v>7600</v>
      </c>
      <c r="P13" s="143">
        <v>0</v>
      </c>
      <c r="Q13" s="143">
        <v>320</v>
      </c>
      <c r="R13" s="143">
        <v>3600</v>
      </c>
      <c r="S13" s="143">
        <v>300</v>
      </c>
      <c r="T13" s="143">
        <v>7600</v>
      </c>
      <c r="U13" s="143"/>
      <c r="V13" s="184">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Row],[OpnAvwb]],0))))</f>
        <v>4620</v>
      </c>
      <c r="W13" s="186">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Row],[AantVerlU]],0))))</f>
        <v>173</v>
      </c>
      <c r="X13" s="184"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f>
        <v/>
      </c>
      <c r="Y13" s="186"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Row],[AantVerlU]],"")),"")</f>
        <v/>
      </c>
    </row>
    <row r="14" spans="1:38" s="113" customFormat="1" ht="16.399999999999999" customHeight="1" x14ac:dyDescent="0.25">
      <c r="A14" s="249"/>
      <c r="B14" s="250"/>
      <c r="C14" s="200"/>
      <c r="D14" s="144" t="str">
        <f>IF(OR(Datum_Einde_IKV&gt;G13,Datum_Einde_IKV=""),IF(AND($B$2="Maandelijks", COUNTIF($D$1:D13, 12)=1), "",IF(OR(AND($B$2="Maandelijks", D13=12),AND($B$2="Vierwekelijks", D13=13), D13 = "Periode"), 1, D13+1)),"")</f>
        <v/>
      </c>
      <c r="E14" s="145" t="str">
        <f>IF(OR(Datum_Einde_IKV="",Tabel13536[[#This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IF(Tabel13536[[#This Row],[Inkomsten-periode]]="","",DATEDIF(Geboortedatum,Tabel13536[[#This Row],[DatEindTv]],"Y"))</f>
        <v/>
      </c>
      <c r="I14" s="146" t="str">
        <f>IF(Tabel13536[[#This Row],[Inkomsten-periode]]="","",IF(Datum_Aanvang_IKV="","",Datum_Aanvang_IKV))</f>
        <v/>
      </c>
      <c r="J14" s="146" t="str">
        <f>IF(Tabel13536[[#This Row],[Inkomsten-periode]]="","",IF(Datum_Einde_IKV="","",IF(Datum_Einde_IKV&lt;=Tabel13536[[#This Row],[DatEindTv]],Datum_Einde_IKV,"")))</f>
        <v/>
      </c>
      <c r="K14" s="138"/>
      <c r="L14" s="138"/>
      <c r="M14" s="138"/>
      <c r="N14" s="139"/>
      <c r="O14" s="140"/>
      <c r="P14" s="140"/>
      <c r="Q14" s="140"/>
      <c r="R14" s="140"/>
      <c r="S14" s="140"/>
      <c r="T14" s="140"/>
      <c r="U14" s="140"/>
      <c r="V14" s="184" t="str">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Row],[OpnAvwb]],0))))</f>
        <v/>
      </c>
      <c r="W14" s="187" t="str">
        <f>IF(Tabel13536[[#This Row],[Inkomsten-periode]]="","",IF(OR(Tabel13536[[#This Row],[Leeftijd]]&lt;18,Tabel13536[[#This Row],[Leeftijd]]&gt;=68),0,IF(Tabel13536[[#This Row],[CdRdnEindArbov]]=33,0,IF(AND(OR(Tabel13536[[#This Row],[SrtIV]]=13,Tabel13536[[#This Row],[SrtIV]]=15,Tabel13536[[#This Row],[SrtIV]]=31),OR(Tabel13536[[#This Row],[CdAard]]=1,Tabel13536[[#This Row],[CdAard]]=11,Tabel13536[[#This Row],[CdAard]]=82,Tabel13536[[#This Row],[CdAard]]=83)),Tabel13536[[#This Row],[AantVerlU]],0))))</f>
        <v/>
      </c>
      <c r="X14" s="184"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Row],[LnInGld]]+Tabel13536[[#This Row],[OpgRchtVakBsl]]-Tabel13536[[#This Row],[VakBsl]]+Tabel13536[[#This Row],[OpbAvwb]]-Tabel13536[[#This Row],[OpnAvwb]],"")),"")</f>
        <v/>
      </c>
      <c r="Y14" s="187" t="str">
        <f>IF(Tabel13536[[#This Row],[Inkomsten-periode]]="",IF(Tabel13536[[#This Row],[CdRdnEindArbov]]=33,0,IF(AND(OR(Tabel13536[[#This Row],[SrtIV]]=13,Tabel13536[[#This Row],[SrtIV]]=15,Tabel13536[[#This Row],[SrtIV]]=31),OR(Tabel13536[[#This Row],[CdAard]]=1,Tabel13536[[#This Row],[CdAard]]=11,Tabel13536[[#This Row],[CdAard]]=82,Tabel13536[[#This Row],[CdAard]]=83)),Tabel13536[[#This Row],[AantVerlU]],"")),"")</f>
        <v/>
      </c>
    </row>
    <row r="15" spans="1:38" ht="16.399999999999999" customHeight="1" thickBot="1" x14ac:dyDescent="0.3">
      <c r="A15" s="249"/>
      <c r="B15" s="250"/>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6.399999999999999" customHeight="1" x14ac:dyDescent="0.35">
      <c r="A16" s="249"/>
      <c r="B16" s="250"/>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249"/>
      <c r="B17" s="250"/>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249"/>
      <c r="B18" s="250"/>
      <c r="C18" s="200"/>
      <c r="D18" s="163">
        <f>D2</f>
        <v>1</v>
      </c>
      <c r="E18" s="150" t="str">
        <f>E2</f>
        <v>januari</v>
      </c>
      <c r="F18" s="151">
        <f>F2</f>
        <v>46388</v>
      </c>
      <c r="G18" s="151">
        <f>G2</f>
        <v>46418</v>
      </c>
      <c r="H18" s="188">
        <f t="shared" ref="H18:H30" si="1">IF(AND(W2="",Y2=""),"",MAX(W2,Y2))</f>
        <v>173</v>
      </c>
      <c r="I18" s="191">
        <f t="shared" ref="I18:I30" si="2">IF(AND(V2="",X2=""),"",MAX(V2,X2))</f>
        <v>4620</v>
      </c>
      <c r="J18" s="188">
        <f>IF($E18="","",IF($E19="",SUM(H18:H$30),H18))</f>
        <v>173</v>
      </c>
      <c r="K18" s="191">
        <f>IF($E18="","",IF($E19="",SUM(I18:I$30),I18))</f>
        <v>4620</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4620</v>
      </c>
      <c r="T18" s="157">
        <f t="shared" ref="T18:T30" si="10">IF(M18="","",J18+IF(AND(D18&lt;&gt;1, T17&lt;&gt;""),T17,0))</f>
        <v>173</v>
      </c>
      <c r="U18" s="157">
        <f t="shared" ref="U18:U30" si="11">IF(M18="","",R18+IF(AND(D18&lt;&gt;1, U17&lt;&gt;""),U17,0))</f>
        <v>173.33333333333334</v>
      </c>
      <c r="V18" s="158">
        <f>IF(M18="",0,T18/U18)</f>
        <v>0.99807692307692297</v>
      </c>
      <c r="W18" s="159">
        <f>IF(M18="","",VLOOKUP($B$6,rekenwaarden!M$8:N$12,2))</f>
        <v>8.31</v>
      </c>
      <c r="X18" s="160">
        <f t="shared" ref="X18:X30" si="12">IF(M18="","",W18*J18)</f>
        <v>1437.63</v>
      </c>
      <c r="Y18" s="160">
        <f t="shared" ref="Y18:Y30" si="13">IF(M18="","",X18+IF(AND(D18&lt;&gt;1, Y17&lt;&gt;""),Y17,0))</f>
        <v>1437.63</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3182.37</v>
      </c>
      <c r="AE18" s="160">
        <f t="shared" ref="AE18:AE30" si="17">IF(M18="","",AD18-IF(AND(D18&lt;&gt;1, AD17&lt;&gt;""),AD17,0))</f>
        <v>3182.37</v>
      </c>
      <c r="AF18" s="160">
        <f>IF(OR($B$8="ONWAAR", M18=""), "", MAX(MIN(S18, AC18*MIN(1, V18))-AA18*MIN(1, V18), 0))</f>
        <v>0</v>
      </c>
      <c r="AG18" s="160">
        <f t="shared" ref="AG18:AG30" si="18">IF(OR(M18="", AF18=""),"",AF18-IF(AND(D18&lt;&gt;1, AF17&lt;&gt;""),AF17,0))</f>
        <v>0</v>
      </c>
      <c r="AH18" s="161">
        <f t="shared" ref="AH18:AH30" ca="1" si="19">IF($M18="", "", AE18*INDIRECT(CONCATENATE("premiepct", YEAR(F18))))</f>
        <v>945.16388999999992</v>
      </c>
      <c r="AI18" s="161">
        <f ca="1">IF(OR($F$4=FALSE, M18=""), "", AG18*INDIRECT(CONCATENATE("premiepct", YEAR($F18))))</f>
        <v>0</v>
      </c>
      <c r="AJ18" s="161"/>
      <c r="AK18" s="161"/>
      <c r="AL18" s="164">
        <f ca="1">IF(M18="","",SUM(AH18:AK18))</f>
        <v>945.16388999999992</v>
      </c>
    </row>
    <row r="19" spans="1:38" s="113" customFormat="1" ht="15.65" customHeight="1" x14ac:dyDescent="0.25">
      <c r="A19" s="249"/>
      <c r="B19" s="250"/>
      <c r="C19" s="200"/>
      <c r="D19" s="163">
        <f t="shared" ref="D19:G30" si="20">D3</f>
        <v>2</v>
      </c>
      <c r="E19" s="150" t="str">
        <f t="shared" si="20"/>
        <v>februari</v>
      </c>
      <c r="F19" s="151">
        <f t="shared" si="20"/>
        <v>46419</v>
      </c>
      <c r="G19" s="151">
        <f t="shared" si="20"/>
        <v>46446</v>
      </c>
      <c r="H19" s="189">
        <f t="shared" si="1"/>
        <v>173</v>
      </c>
      <c r="I19" s="192">
        <f t="shared" si="2"/>
        <v>4620</v>
      </c>
      <c r="J19" s="189">
        <f>IF($E19="","",IF($E20="",SUM(H19:H$30),H19))</f>
        <v>173</v>
      </c>
      <c r="K19" s="192">
        <f>IF($E19="","",IF($E20="",SUM(I19:I$30),I19))</f>
        <v>4620</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9240</v>
      </c>
      <c r="T19" s="157">
        <f t="shared" si="10"/>
        <v>346</v>
      </c>
      <c r="U19" s="157">
        <f t="shared" si="11"/>
        <v>346.66666666666669</v>
      </c>
      <c r="V19" s="158">
        <f t="shared" ref="V19:V30" si="22">IF(M19="","",T19/U19)</f>
        <v>0.99807692307692297</v>
      </c>
      <c r="W19" s="159">
        <f>IF(M19="","",VLOOKUP($B$6,rekenwaarden!M$8:N$12,2))</f>
        <v>8.31</v>
      </c>
      <c r="X19" s="160">
        <f t="shared" si="12"/>
        <v>1437.63</v>
      </c>
      <c r="Y19" s="160">
        <f t="shared" si="13"/>
        <v>2875.26</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6364.74</v>
      </c>
      <c r="AE19" s="160">
        <f t="shared" si="17"/>
        <v>3182.37</v>
      </c>
      <c r="AF19" s="160">
        <f t="shared" ref="AF19:AF30" si="23">IF(OR($B$8="ONWAAR", M19=""), "", MAX(MIN(S19, AC19*MIN(1, V19))-AA19*MIN(1, V19), 0))</f>
        <v>0</v>
      </c>
      <c r="AG19" s="160">
        <f t="shared" si="18"/>
        <v>0</v>
      </c>
      <c r="AH19" s="161">
        <f t="shared" ca="1" si="19"/>
        <v>945.16388999999992</v>
      </c>
      <c r="AI19" s="161">
        <f t="shared" ref="AI19:AI30" ca="1" si="24">IF(OR($F$4=FALSE, M19=""), "", AG19*INDIRECT(CONCATENATE("premiepct", YEAR($F19))))</f>
        <v>0</v>
      </c>
      <c r="AJ19" s="161"/>
      <c r="AK19" s="161"/>
      <c r="AL19" s="164">
        <f t="shared" ref="AL19:AL30" ca="1" si="25">IF(M19="","",SUM(AH19:AK19))</f>
        <v>945.16388999999992</v>
      </c>
    </row>
    <row r="20" spans="1:38" s="113" customFormat="1" ht="15.65" customHeight="1" x14ac:dyDescent="0.25">
      <c r="A20" s="249"/>
      <c r="B20" s="250"/>
      <c r="C20" s="200"/>
      <c r="D20" s="163">
        <f t="shared" si="20"/>
        <v>3</v>
      </c>
      <c r="E20" s="150" t="str">
        <f t="shared" si="20"/>
        <v>maart</v>
      </c>
      <c r="F20" s="151">
        <f t="shared" si="20"/>
        <v>46447</v>
      </c>
      <c r="G20" s="151">
        <f t="shared" si="20"/>
        <v>46477</v>
      </c>
      <c r="H20" s="188">
        <f t="shared" si="1"/>
        <v>173</v>
      </c>
      <c r="I20" s="191">
        <f t="shared" si="2"/>
        <v>4620</v>
      </c>
      <c r="J20" s="188">
        <f>IF($E20="","",IF($E21="",SUM(H20:H$30),H20))</f>
        <v>173</v>
      </c>
      <c r="K20" s="191">
        <f>IF($E20="","",IF($E21="",SUM(I20:I$30),I20))</f>
        <v>4620</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13860</v>
      </c>
      <c r="T20" s="157">
        <f t="shared" si="10"/>
        <v>519</v>
      </c>
      <c r="U20" s="157">
        <f t="shared" si="11"/>
        <v>520</v>
      </c>
      <c r="V20" s="158">
        <f t="shared" si="22"/>
        <v>0.99807692307692308</v>
      </c>
      <c r="W20" s="159">
        <f>IF(M20="","",VLOOKUP($B$6,rekenwaarden!M$8:N$12,2))</f>
        <v>8.31</v>
      </c>
      <c r="X20" s="160">
        <f t="shared" si="12"/>
        <v>1437.63</v>
      </c>
      <c r="Y20" s="160">
        <f t="shared" si="13"/>
        <v>4312.8900000000003</v>
      </c>
      <c r="Z20" s="160">
        <f>IF(M20="","", VLOOKUP(B$6,rekenwaarden!M$8:T$12,3)*Q20)</f>
        <v>6617.4166666666661</v>
      </c>
      <c r="AA20" s="160">
        <f t="shared" si="14"/>
        <v>19852.25</v>
      </c>
      <c r="AB20" s="160">
        <f>IF(M20="","", VLOOKUP($B$6,rekenwaarden!M$8:T$12,4)*Q20)</f>
        <v>11483.333333333332</v>
      </c>
      <c r="AC20" s="160">
        <f t="shared" si="15"/>
        <v>34450</v>
      </c>
      <c r="AD20" s="160">
        <f t="shared" si="16"/>
        <v>9547.11</v>
      </c>
      <c r="AE20" s="160">
        <f t="shared" si="17"/>
        <v>3182.3700000000008</v>
      </c>
      <c r="AF20" s="160">
        <f t="shared" si="23"/>
        <v>0</v>
      </c>
      <c r="AG20" s="160">
        <f t="shared" si="18"/>
        <v>0</v>
      </c>
      <c r="AH20" s="161">
        <f t="shared" ca="1" si="19"/>
        <v>945.16389000000015</v>
      </c>
      <c r="AI20" s="161">
        <f t="shared" ca="1" si="24"/>
        <v>0</v>
      </c>
      <c r="AJ20" s="161"/>
      <c r="AK20" s="161"/>
      <c r="AL20" s="164">
        <f t="shared" ca="1" si="25"/>
        <v>945.16389000000015</v>
      </c>
    </row>
    <row r="21" spans="1:38" s="113" customFormat="1" ht="15.65" customHeight="1" x14ac:dyDescent="0.25">
      <c r="A21" s="249"/>
      <c r="B21" s="250"/>
      <c r="C21" s="200"/>
      <c r="D21" s="163">
        <f t="shared" si="20"/>
        <v>4</v>
      </c>
      <c r="E21" s="150" t="str">
        <f t="shared" si="20"/>
        <v>april</v>
      </c>
      <c r="F21" s="151">
        <f t="shared" si="20"/>
        <v>46478</v>
      </c>
      <c r="G21" s="151">
        <f t="shared" si="20"/>
        <v>46507</v>
      </c>
      <c r="H21" s="189">
        <f t="shared" si="1"/>
        <v>93</v>
      </c>
      <c r="I21" s="192">
        <f t="shared" si="2"/>
        <v>2770</v>
      </c>
      <c r="J21" s="189">
        <f>IF($E21="","",IF($E22="",SUM(H21:H$30),H21))</f>
        <v>93</v>
      </c>
      <c r="K21" s="192">
        <f>IF($E21="","",IF($E22="",SUM(I21:I$30),I21))</f>
        <v>2770</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16630</v>
      </c>
      <c r="T21" s="157">
        <f t="shared" si="10"/>
        <v>612</v>
      </c>
      <c r="U21" s="157">
        <f t="shared" si="11"/>
        <v>693.33333333333337</v>
      </c>
      <c r="V21" s="158">
        <f t="shared" si="22"/>
        <v>0.88269230769230766</v>
      </c>
      <c r="W21" s="159">
        <f>IF(M21="","",VLOOKUP($B$6,rekenwaarden!M$8:N$12,2))</f>
        <v>8.31</v>
      </c>
      <c r="X21" s="160">
        <f t="shared" si="12"/>
        <v>772.83</v>
      </c>
      <c r="Y21" s="160">
        <f t="shared" si="13"/>
        <v>5085.72</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11544.279999999999</v>
      </c>
      <c r="AE21" s="160">
        <f t="shared" si="17"/>
        <v>1997.1699999999983</v>
      </c>
      <c r="AF21" s="160">
        <f t="shared" si="23"/>
        <v>0</v>
      </c>
      <c r="AG21" s="160">
        <f t="shared" si="18"/>
        <v>0</v>
      </c>
      <c r="AH21" s="161">
        <f t="shared" ca="1" si="19"/>
        <v>593.15948999999944</v>
      </c>
      <c r="AI21" s="161">
        <f t="shared" ca="1" si="24"/>
        <v>0</v>
      </c>
      <c r="AJ21" s="161"/>
      <c r="AK21" s="161"/>
      <c r="AL21" s="164">
        <f t="shared" ca="1" si="25"/>
        <v>593.15948999999944</v>
      </c>
    </row>
    <row r="22" spans="1:38" s="113" customFormat="1" ht="15.65" customHeight="1" x14ac:dyDescent="0.25">
      <c r="A22" s="249"/>
      <c r="B22" s="250"/>
      <c r="C22" s="200"/>
      <c r="D22" s="163">
        <f t="shared" si="20"/>
        <v>5</v>
      </c>
      <c r="E22" s="150" t="str">
        <f t="shared" si="20"/>
        <v>mei</v>
      </c>
      <c r="F22" s="151">
        <f t="shared" si="20"/>
        <v>46508</v>
      </c>
      <c r="G22" s="151">
        <f t="shared" si="20"/>
        <v>46538</v>
      </c>
      <c r="H22" s="188">
        <f t="shared" si="1"/>
        <v>173</v>
      </c>
      <c r="I22" s="191">
        <f t="shared" si="2"/>
        <v>4620</v>
      </c>
      <c r="J22" s="188">
        <f>IF($E22="","",IF($E23="",SUM(H22:H$30),H22))</f>
        <v>173</v>
      </c>
      <c r="K22" s="191">
        <f>IF($E22="","",IF($E23="",SUM(I22:I$30),I22))</f>
        <v>4620</v>
      </c>
      <c r="L22" s="152">
        <f t="shared" si="3"/>
        <v>40</v>
      </c>
      <c r="M22" s="151">
        <f t="shared" si="4"/>
        <v>46508</v>
      </c>
      <c r="N22" s="151">
        <f t="shared" si="5"/>
        <v>46538</v>
      </c>
      <c r="O22" s="150">
        <f t="shared" si="21"/>
        <v>31</v>
      </c>
      <c r="P22" s="153">
        <f t="shared" si="6"/>
        <v>1</v>
      </c>
      <c r="Q22" s="154">
        <f t="shared" si="7"/>
        <v>8.3333333333333329E-2</v>
      </c>
      <c r="R22" s="155">
        <f t="shared" si="8"/>
        <v>173.33333333333334</v>
      </c>
      <c r="S22" s="156">
        <f t="shared" si="9"/>
        <v>21250</v>
      </c>
      <c r="T22" s="157">
        <f t="shared" si="10"/>
        <v>785</v>
      </c>
      <c r="U22" s="157">
        <f t="shared" si="11"/>
        <v>866.66666666666674</v>
      </c>
      <c r="V22" s="158">
        <f t="shared" si="22"/>
        <v>0.90576923076923066</v>
      </c>
      <c r="W22" s="159">
        <f>IF(M22="","",VLOOKUP($B$6,rekenwaarden!M$8:N$12,2))</f>
        <v>8.31</v>
      </c>
      <c r="X22" s="160">
        <f t="shared" si="12"/>
        <v>1437.63</v>
      </c>
      <c r="Y22" s="160">
        <f t="shared" si="13"/>
        <v>6523.35</v>
      </c>
      <c r="Z22" s="160">
        <f>IF(M22="","", VLOOKUP(B$6,rekenwaarden!M$8:T$12,3)*Q22)</f>
        <v>6617.4166666666661</v>
      </c>
      <c r="AA22" s="160">
        <f t="shared" si="14"/>
        <v>33087.083333333328</v>
      </c>
      <c r="AB22" s="160">
        <f>IF(M22="","", VLOOKUP($B$6,rekenwaarden!M$8:T$12,4)*Q22)</f>
        <v>11483.333333333332</v>
      </c>
      <c r="AC22" s="160">
        <f t="shared" si="15"/>
        <v>57416.666666666657</v>
      </c>
      <c r="AD22" s="160">
        <f t="shared" si="16"/>
        <v>14726.65</v>
      </c>
      <c r="AE22" s="160">
        <f t="shared" si="17"/>
        <v>3182.3700000000008</v>
      </c>
      <c r="AF22" s="160">
        <f t="shared" si="23"/>
        <v>0</v>
      </c>
      <c r="AG22" s="160">
        <f t="shared" si="18"/>
        <v>0</v>
      </c>
      <c r="AH22" s="161">
        <f t="shared" ca="1" si="19"/>
        <v>945.16389000000015</v>
      </c>
      <c r="AI22" s="161">
        <f t="shared" ca="1" si="24"/>
        <v>0</v>
      </c>
      <c r="AJ22" s="161"/>
      <c r="AK22" s="161"/>
      <c r="AL22" s="164">
        <f t="shared" ca="1" si="25"/>
        <v>945.16389000000015</v>
      </c>
    </row>
    <row r="23" spans="1:38" s="113" customFormat="1" ht="15.65" customHeight="1" x14ac:dyDescent="0.25">
      <c r="A23" s="249"/>
      <c r="B23" s="250"/>
      <c r="C23" s="200"/>
      <c r="D23" s="163">
        <f t="shared" si="20"/>
        <v>6</v>
      </c>
      <c r="E23" s="150" t="str">
        <f t="shared" si="20"/>
        <v>juni</v>
      </c>
      <c r="F23" s="151">
        <f t="shared" si="20"/>
        <v>46539</v>
      </c>
      <c r="G23" s="151">
        <f t="shared" si="20"/>
        <v>46568</v>
      </c>
      <c r="H23" s="189">
        <f t="shared" si="1"/>
        <v>173</v>
      </c>
      <c r="I23" s="192">
        <f t="shared" si="2"/>
        <v>4620</v>
      </c>
      <c r="J23" s="189">
        <f>IF($E23="","",IF($E24="",SUM(H23:H$30),H23))</f>
        <v>173</v>
      </c>
      <c r="K23" s="192">
        <f>IF($E23="","",IF($E24="",SUM(I23:I$30),I23))</f>
        <v>4620</v>
      </c>
      <c r="L23" s="152">
        <f t="shared" si="3"/>
        <v>40</v>
      </c>
      <c r="M23" s="151">
        <f t="shared" si="4"/>
        <v>46539</v>
      </c>
      <c r="N23" s="151">
        <f t="shared" si="5"/>
        <v>46568</v>
      </c>
      <c r="O23" s="150">
        <f t="shared" si="21"/>
        <v>30</v>
      </c>
      <c r="P23" s="153">
        <f t="shared" si="6"/>
        <v>1</v>
      </c>
      <c r="Q23" s="154">
        <f t="shared" si="7"/>
        <v>8.3333333333333329E-2</v>
      </c>
      <c r="R23" s="155">
        <f t="shared" si="8"/>
        <v>173.33333333333334</v>
      </c>
      <c r="S23" s="156">
        <f t="shared" si="9"/>
        <v>25870</v>
      </c>
      <c r="T23" s="157">
        <f t="shared" si="10"/>
        <v>958</v>
      </c>
      <c r="U23" s="157">
        <f t="shared" si="11"/>
        <v>1040</v>
      </c>
      <c r="V23" s="158">
        <f t="shared" si="22"/>
        <v>0.9211538461538461</v>
      </c>
      <c r="W23" s="159">
        <f>IF(M23="","",VLOOKUP($B$6,rekenwaarden!M$8:N$12,2))</f>
        <v>8.31</v>
      </c>
      <c r="X23" s="160">
        <f t="shared" si="12"/>
        <v>1437.63</v>
      </c>
      <c r="Y23" s="160">
        <f t="shared" si="13"/>
        <v>7960.9800000000005</v>
      </c>
      <c r="Z23" s="160">
        <f>IF(M23="","", VLOOKUP(B$6,rekenwaarden!M$8:T$12,3)*Q23)</f>
        <v>6617.4166666666661</v>
      </c>
      <c r="AA23" s="160">
        <f t="shared" si="14"/>
        <v>39704.499999999993</v>
      </c>
      <c r="AB23" s="160">
        <f>IF(M23="","", VLOOKUP($B$6,rekenwaarden!M$8:T$12,4)*Q23)</f>
        <v>11483.333333333332</v>
      </c>
      <c r="AC23" s="160">
        <f t="shared" si="15"/>
        <v>68899.999999999985</v>
      </c>
      <c r="AD23" s="160">
        <f t="shared" si="16"/>
        <v>17909.02</v>
      </c>
      <c r="AE23" s="160">
        <f t="shared" si="17"/>
        <v>3182.3700000000008</v>
      </c>
      <c r="AF23" s="160">
        <f t="shared" si="23"/>
        <v>0</v>
      </c>
      <c r="AG23" s="160">
        <f t="shared" si="18"/>
        <v>0</v>
      </c>
      <c r="AH23" s="161">
        <f t="shared" ca="1" si="19"/>
        <v>945.16389000000015</v>
      </c>
      <c r="AI23" s="161">
        <f t="shared" ca="1" si="24"/>
        <v>0</v>
      </c>
      <c r="AJ23" s="161"/>
      <c r="AK23" s="161"/>
      <c r="AL23" s="164">
        <f t="shared" ca="1" si="25"/>
        <v>945.16389000000015</v>
      </c>
    </row>
    <row r="24" spans="1:38" s="113" customFormat="1" ht="15.65" customHeight="1" x14ac:dyDescent="0.25">
      <c r="A24" s="249"/>
      <c r="B24" s="250"/>
      <c r="C24" s="200"/>
      <c r="D24" s="163">
        <f t="shared" si="20"/>
        <v>7</v>
      </c>
      <c r="E24" s="150" t="str">
        <f t="shared" si="20"/>
        <v>juli</v>
      </c>
      <c r="F24" s="151">
        <f t="shared" si="20"/>
        <v>46569</v>
      </c>
      <c r="G24" s="151">
        <f t="shared" si="20"/>
        <v>46599</v>
      </c>
      <c r="H24" s="188">
        <f t="shared" si="1"/>
        <v>173</v>
      </c>
      <c r="I24" s="191">
        <f t="shared" si="2"/>
        <v>4620</v>
      </c>
      <c r="J24" s="188">
        <f>IF($E24="","",IF($E25="",SUM(H24:H$30),H24))</f>
        <v>173</v>
      </c>
      <c r="K24" s="191">
        <f>IF($E24="","",IF($E25="",SUM(I24:I$30),I24))</f>
        <v>4620</v>
      </c>
      <c r="L24" s="152">
        <f t="shared" si="3"/>
        <v>40</v>
      </c>
      <c r="M24" s="151">
        <f t="shared" si="4"/>
        <v>46569</v>
      </c>
      <c r="N24" s="151">
        <f t="shared" si="5"/>
        <v>46599</v>
      </c>
      <c r="O24" s="150">
        <f t="shared" si="21"/>
        <v>31</v>
      </c>
      <c r="P24" s="153">
        <f t="shared" si="6"/>
        <v>1</v>
      </c>
      <c r="Q24" s="154">
        <f t="shared" si="7"/>
        <v>8.3333333333333329E-2</v>
      </c>
      <c r="R24" s="155">
        <f t="shared" si="8"/>
        <v>173.33333333333334</v>
      </c>
      <c r="S24" s="156">
        <f t="shared" si="9"/>
        <v>30490</v>
      </c>
      <c r="T24" s="157">
        <f t="shared" si="10"/>
        <v>1131</v>
      </c>
      <c r="U24" s="157">
        <f t="shared" si="11"/>
        <v>1213.3333333333333</v>
      </c>
      <c r="V24" s="158">
        <f t="shared" si="22"/>
        <v>0.93214285714285716</v>
      </c>
      <c r="W24" s="159">
        <f>IF(M24="","",VLOOKUP($B$6,rekenwaarden!M$8:N$12,2))</f>
        <v>8.31</v>
      </c>
      <c r="X24" s="160">
        <f t="shared" si="12"/>
        <v>1437.63</v>
      </c>
      <c r="Y24" s="160">
        <f t="shared" si="13"/>
        <v>9398.61</v>
      </c>
      <c r="Z24" s="160">
        <f>IF(M24="","", VLOOKUP(B$6,rekenwaarden!M$8:T$12,3)*Q24)</f>
        <v>6617.4166666666661</v>
      </c>
      <c r="AA24" s="160">
        <f t="shared" si="14"/>
        <v>46321.916666666657</v>
      </c>
      <c r="AB24" s="160">
        <f>IF(M24="","", VLOOKUP($B$6,rekenwaarden!M$8:T$12,4)*Q24)</f>
        <v>11483.333333333332</v>
      </c>
      <c r="AC24" s="160">
        <f t="shared" si="15"/>
        <v>80383.333333333314</v>
      </c>
      <c r="AD24" s="160">
        <f t="shared" si="16"/>
        <v>21091.39</v>
      </c>
      <c r="AE24" s="160">
        <f t="shared" si="17"/>
        <v>3182.369999999999</v>
      </c>
      <c r="AF24" s="160">
        <f t="shared" si="23"/>
        <v>0</v>
      </c>
      <c r="AG24" s="160">
        <f t="shared" si="18"/>
        <v>0</v>
      </c>
      <c r="AH24" s="161">
        <f t="shared" ca="1" si="19"/>
        <v>945.1638899999997</v>
      </c>
      <c r="AI24" s="161">
        <f t="shared" ca="1" si="24"/>
        <v>0</v>
      </c>
      <c r="AJ24" s="161"/>
      <c r="AK24" s="161"/>
      <c r="AL24" s="164">
        <f t="shared" ca="1" si="25"/>
        <v>945.1638899999997</v>
      </c>
    </row>
    <row r="25" spans="1:38" s="113" customFormat="1" ht="15.65" customHeight="1" x14ac:dyDescent="0.25">
      <c r="A25" s="249"/>
      <c r="B25" s="250"/>
      <c r="C25" s="200"/>
      <c r="D25" s="163">
        <f t="shared" si="20"/>
        <v>8</v>
      </c>
      <c r="E25" s="150" t="str">
        <f t="shared" si="20"/>
        <v>augustus</v>
      </c>
      <c r="F25" s="151">
        <f t="shared" si="20"/>
        <v>46600</v>
      </c>
      <c r="G25" s="151">
        <f t="shared" si="20"/>
        <v>46630</v>
      </c>
      <c r="H25" s="189">
        <f t="shared" si="1"/>
        <v>173</v>
      </c>
      <c r="I25" s="192">
        <f t="shared" si="2"/>
        <v>4620</v>
      </c>
      <c r="J25" s="189">
        <f>IF($E25="","",IF($E26="",SUM(H25:H$30),H25))</f>
        <v>173</v>
      </c>
      <c r="K25" s="192">
        <f>IF($E25="","",IF($E26="",SUM(I25:I$30),I25))</f>
        <v>4620</v>
      </c>
      <c r="L25" s="152">
        <f t="shared" si="3"/>
        <v>40</v>
      </c>
      <c r="M25" s="151">
        <f t="shared" si="4"/>
        <v>46600</v>
      </c>
      <c r="N25" s="151">
        <f t="shared" si="5"/>
        <v>46630</v>
      </c>
      <c r="O25" s="150">
        <f t="shared" si="21"/>
        <v>31</v>
      </c>
      <c r="P25" s="153">
        <f t="shared" si="6"/>
        <v>1</v>
      </c>
      <c r="Q25" s="154">
        <f t="shared" si="7"/>
        <v>8.3333333333333329E-2</v>
      </c>
      <c r="R25" s="155">
        <f t="shared" si="8"/>
        <v>173.33333333333334</v>
      </c>
      <c r="S25" s="156">
        <f t="shared" si="9"/>
        <v>35110</v>
      </c>
      <c r="T25" s="157">
        <f t="shared" si="10"/>
        <v>1304</v>
      </c>
      <c r="U25" s="157">
        <f t="shared" si="11"/>
        <v>1386.6666666666665</v>
      </c>
      <c r="V25" s="158">
        <f t="shared" si="22"/>
        <v>0.94038461538461549</v>
      </c>
      <c r="W25" s="159">
        <f>IF(M25="","",VLOOKUP($B$6,rekenwaarden!M$8:N$12,2))</f>
        <v>8.31</v>
      </c>
      <c r="X25" s="160">
        <f t="shared" si="12"/>
        <v>1437.63</v>
      </c>
      <c r="Y25" s="160">
        <f t="shared" si="13"/>
        <v>10836.240000000002</v>
      </c>
      <c r="Z25" s="160">
        <f>IF(M25="","", VLOOKUP(B$6,rekenwaarden!M$8:T$12,3)*Q25)</f>
        <v>6617.4166666666661</v>
      </c>
      <c r="AA25" s="160">
        <f t="shared" si="14"/>
        <v>52939.333333333321</v>
      </c>
      <c r="AB25" s="160">
        <f>IF(M25="","", VLOOKUP($B$6,rekenwaarden!M$8:T$12,4)*Q25)</f>
        <v>11483.333333333332</v>
      </c>
      <c r="AC25" s="160">
        <f t="shared" si="15"/>
        <v>91866.666666666642</v>
      </c>
      <c r="AD25" s="160">
        <f t="shared" si="16"/>
        <v>24273.759999999998</v>
      </c>
      <c r="AE25" s="160">
        <f t="shared" si="17"/>
        <v>3182.369999999999</v>
      </c>
      <c r="AF25" s="160">
        <f t="shared" si="23"/>
        <v>0</v>
      </c>
      <c r="AG25" s="160">
        <f t="shared" si="18"/>
        <v>0</v>
      </c>
      <c r="AH25" s="161">
        <f t="shared" ca="1" si="19"/>
        <v>945.1638899999997</v>
      </c>
      <c r="AI25" s="161">
        <f t="shared" ca="1" si="24"/>
        <v>0</v>
      </c>
      <c r="AJ25" s="161"/>
      <c r="AK25" s="161"/>
      <c r="AL25" s="164">
        <f t="shared" ca="1" si="25"/>
        <v>945.1638899999997</v>
      </c>
    </row>
    <row r="26" spans="1:38" s="113" customFormat="1" ht="15.65" customHeight="1" x14ac:dyDescent="0.25">
      <c r="A26" s="125"/>
      <c r="B26" s="126"/>
      <c r="C26" s="200"/>
      <c r="D26" s="163">
        <f t="shared" si="20"/>
        <v>9</v>
      </c>
      <c r="E26" s="150" t="str">
        <f t="shared" si="20"/>
        <v>september</v>
      </c>
      <c r="F26" s="151">
        <f t="shared" si="20"/>
        <v>46631</v>
      </c>
      <c r="G26" s="151">
        <f t="shared" si="20"/>
        <v>46660</v>
      </c>
      <c r="H26" s="188">
        <f t="shared" si="1"/>
        <v>173</v>
      </c>
      <c r="I26" s="191">
        <f t="shared" si="2"/>
        <v>4620</v>
      </c>
      <c r="J26" s="188">
        <f>IF($E26="","",IF($E27="",SUM(H26:H$30),H26))</f>
        <v>173</v>
      </c>
      <c r="K26" s="191">
        <f>IF($E26="","",IF($E27="",SUM(I26:I$30),I26))</f>
        <v>4620</v>
      </c>
      <c r="L26" s="152">
        <f t="shared" si="3"/>
        <v>40</v>
      </c>
      <c r="M26" s="151">
        <f t="shared" si="4"/>
        <v>46631</v>
      </c>
      <c r="N26" s="151">
        <f t="shared" si="5"/>
        <v>46660</v>
      </c>
      <c r="O26" s="150">
        <f t="shared" si="21"/>
        <v>30</v>
      </c>
      <c r="P26" s="153">
        <f t="shared" si="6"/>
        <v>1</v>
      </c>
      <c r="Q26" s="154">
        <f t="shared" si="7"/>
        <v>8.3333333333333329E-2</v>
      </c>
      <c r="R26" s="155">
        <f t="shared" si="8"/>
        <v>173.33333333333334</v>
      </c>
      <c r="S26" s="156">
        <f t="shared" si="9"/>
        <v>39730</v>
      </c>
      <c r="T26" s="157">
        <f t="shared" si="10"/>
        <v>1477</v>
      </c>
      <c r="U26" s="157">
        <f t="shared" si="11"/>
        <v>1559.9999999999998</v>
      </c>
      <c r="V26" s="158">
        <f t="shared" si="22"/>
        <v>0.94679487179487198</v>
      </c>
      <c r="W26" s="159">
        <f>IF(M26="","",VLOOKUP($B$6,rekenwaarden!M$8:N$12,2))</f>
        <v>8.31</v>
      </c>
      <c r="X26" s="160">
        <f t="shared" si="12"/>
        <v>1437.63</v>
      </c>
      <c r="Y26" s="160">
        <f t="shared" si="13"/>
        <v>12273.870000000003</v>
      </c>
      <c r="Z26" s="160">
        <f>IF(M26="","", VLOOKUP(B$6,rekenwaarden!M$8:T$12,3)*Q26)</f>
        <v>6617.4166666666661</v>
      </c>
      <c r="AA26" s="160">
        <f t="shared" si="14"/>
        <v>59556.749999999985</v>
      </c>
      <c r="AB26" s="160">
        <f>IF(M26="","", VLOOKUP($B$6,rekenwaarden!M$8:T$12,4)*Q26)</f>
        <v>11483.333333333332</v>
      </c>
      <c r="AC26" s="160">
        <f t="shared" si="15"/>
        <v>103349.99999999997</v>
      </c>
      <c r="AD26" s="160">
        <f t="shared" si="16"/>
        <v>27456.129999999997</v>
      </c>
      <c r="AE26" s="160">
        <f t="shared" si="17"/>
        <v>3182.369999999999</v>
      </c>
      <c r="AF26" s="160">
        <f t="shared" si="23"/>
        <v>0</v>
      </c>
      <c r="AG26" s="160">
        <f t="shared" si="18"/>
        <v>0</v>
      </c>
      <c r="AH26" s="161">
        <f t="shared" ca="1" si="19"/>
        <v>945.1638899999997</v>
      </c>
      <c r="AI26" s="161">
        <f t="shared" ca="1" si="24"/>
        <v>0</v>
      </c>
      <c r="AJ26" s="161"/>
      <c r="AK26" s="161"/>
      <c r="AL26" s="164">
        <f t="shared" ca="1" si="25"/>
        <v>945.1638899999997</v>
      </c>
    </row>
    <row r="27" spans="1:38" s="113" customFormat="1" ht="15.65" customHeight="1" x14ac:dyDescent="0.25">
      <c r="A27" s="125"/>
      <c r="B27" s="126"/>
      <c r="C27" s="200"/>
      <c r="D27" s="163">
        <f t="shared" si="20"/>
        <v>10</v>
      </c>
      <c r="E27" s="150" t="str">
        <f t="shared" si="20"/>
        <v>oktober</v>
      </c>
      <c r="F27" s="151">
        <f t="shared" si="20"/>
        <v>46661</v>
      </c>
      <c r="G27" s="151">
        <f t="shared" si="20"/>
        <v>46691</v>
      </c>
      <c r="H27" s="189">
        <f t="shared" si="1"/>
        <v>173</v>
      </c>
      <c r="I27" s="192">
        <f t="shared" si="2"/>
        <v>4620</v>
      </c>
      <c r="J27" s="189">
        <f>IF($E27="","",IF($E28="",SUM(H27:H$30),H27))</f>
        <v>173</v>
      </c>
      <c r="K27" s="192">
        <f>IF($E27="","",IF($E28="",SUM(I27:I$30),I27))</f>
        <v>4620</v>
      </c>
      <c r="L27" s="152">
        <f t="shared" si="3"/>
        <v>40</v>
      </c>
      <c r="M27" s="151">
        <f t="shared" si="4"/>
        <v>46661</v>
      </c>
      <c r="N27" s="151">
        <f t="shared" si="5"/>
        <v>46691</v>
      </c>
      <c r="O27" s="150">
        <f t="shared" si="21"/>
        <v>31</v>
      </c>
      <c r="P27" s="153">
        <f t="shared" si="6"/>
        <v>1</v>
      </c>
      <c r="Q27" s="154">
        <f t="shared" si="7"/>
        <v>8.3333333333333329E-2</v>
      </c>
      <c r="R27" s="155">
        <f t="shared" si="8"/>
        <v>173.33333333333334</v>
      </c>
      <c r="S27" s="156">
        <f t="shared" si="9"/>
        <v>44350</v>
      </c>
      <c r="T27" s="157">
        <f t="shared" si="10"/>
        <v>1650</v>
      </c>
      <c r="U27" s="157">
        <f t="shared" si="11"/>
        <v>1733.333333333333</v>
      </c>
      <c r="V27" s="158">
        <f t="shared" si="22"/>
        <v>0.95192307692307709</v>
      </c>
      <c r="W27" s="159">
        <f>IF(M27="","",VLOOKUP($B$6,rekenwaarden!M$8:N$12,2))</f>
        <v>8.31</v>
      </c>
      <c r="X27" s="160">
        <f t="shared" si="12"/>
        <v>1437.63</v>
      </c>
      <c r="Y27" s="160">
        <f t="shared" si="13"/>
        <v>13711.500000000004</v>
      </c>
      <c r="Z27" s="160">
        <f>IF(M27="","", VLOOKUP(B$6,rekenwaarden!M$8:T$12,3)*Q27)</f>
        <v>6617.4166666666661</v>
      </c>
      <c r="AA27" s="160">
        <f t="shared" si="14"/>
        <v>66174.166666666657</v>
      </c>
      <c r="AB27" s="160">
        <f>IF(M27="","", VLOOKUP($B$6,rekenwaarden!M$8:T$12,4)*Q27)</f>
        <v>11483.333333333332</v>
      </c>
      <c r="AC27" s="160">
        <f t="shared" si="15"/>
        <v>114833.3333333333</v>
      </c>
      <c r="AD27" s="160">
        <f t="shared" si="16"/>
        <v>30638.499999999996</v>
      </c>
      <c r="AE27" s="160">
        <f t="shared" si="17"/>
        <v>3182.369999999999</v>
      </c>
      <c r="AF27" s="160">
        <f t="shared" si="23"/>
        <v>0</v>
      </c>
      <c r="AG27" s="160">
        <f t="shared" si="18"/>
        <v>0</v>
      </c>
      <c r="AH27" s="161">
        <f t="shared" ca="1" si="19"/>
        <v>945.1638899999997</v>
      </c>
      <c r="AI27" s="161">
        <f t="shared" ca="1" si="24"/>
        <v>0</v>
      </c>
      <c r="AJ27" s="161"/>
      <c r="AK27" s="161"/>
      <c r="AL27" s="164">
        <f t="shared" ca="1" si="25"/>
        <v>945.1638899999997</v>
      </c>
    </row>
    <row r="28" spans="1:38" s="113" customFormat="1" ht="15.65" customHeight="1" x14ac:dyDescent="0.25">
      <c r="A28" s="125"/>
      <c r="B28" s="126"/>
      <c r="C28" s="200"/>
      <c r="D28" s="163">
        <f t="shared" si="20"/>
        <v>11</v>
      </c>
      <c r="E28" s="150" t="str">
        <f t="shared" si="20"/>
        <v>november</v>
      </c>
      <c r="F28" s="151">
        <f t="shared" si="20"/>
        <v>46692</v>
      </c>
      <c r="G28" s="151">
        <f t="shared" si="20"/>
        <v>46721</v>
      </c>
      <c r="H28" s="188">
        <f t="shared" si="1"/>
        <v>173</v>
      </c>
      <c r="I28" s="191">
        <f t="shared" si="2"/>
        <v>4620</v>
      </c>
      <c r="J28" s="188">
        <f>IF($E28="","",IF($E29="",SUM(H28:H$30),H28))</f>
        <v>173</v>
      </c>
      <c r="K28" s="191">
        <f>IF($E28="","",IF($E29="",SUM(I28:I$30),I28))</f>
        <v>4620</v>
      </c>
      <c r="L28" s="152">
        <f t="shared" si="3"/>
        <v>40</v>
      </c>
      <c r="M28" s="151">
        <f t="shared" si="4"/>
        <v>46692</v>
      </c>
      <c r="N28" s="151">
        <f t="shared" si="5"/>
        <v>46721</v>
      </c>
      <c r="O28" s="150">
        <f t="shared" si="21"/>
        <v>30</v>
      </c>
      <c r="P28" s="153">
        <f t="shared" si="6"/>
        <v>1</v>
      </c>
      <c r="Q28" s="154">
        <f t="shared" si="7"/>
        <v>8.3333333333333329E-2</v>
      </c>
      <c r="R28" s="155">
        <f t="shared" si="8"/>
        <v>173.33333333333334</v>
      </c>
      <c r="S28" s="156">
        <f t="shared" si="9"/>
        <v>48970</v>
      </c>
      <c r="T28" s="157">
        <f t="shared" si="10"/>
        <v>1823</v>
      </c>
      <c r="U28" s="157">
        <f t="shared" si="11"/>
        <v>1906.6666666666663</v>
      </c>
      <c r="V28" s="158">
        <f t="shared" si="22"/>
        <v>0.95611888111888133</v>
      </c>
      <c r="W28" s="159">
        <f>IF(M28="","",VLOOKUP($B$6,rekenwaarden!M$8:N$12,2))</f>
        <v>8.31</v>
      </c>
      <c r="X28" s="160">
        <f t="shared" si="12"/>
        <v>1437.63</v>
      </c>
      <c r="Y28" s="160">
        <f t="shared" si="13"/>
        <v>15149.130000000005</v>
      </c>
      <c r="Z28" s="160">
        <f>IF(M28="","", VLOOKUP(B$6,rekenwaarden!M$8:T$12,3)*Q28)</f>
        <v>6617.4166666666661</v>
      </c>
      <c r="AA28" s="160">
        <f t="shared" si="14"/>
        <v>72791.583333333328</v>
      </c>
      <c r="AB28" s="160">
        <f>IF(M28="","", VLOOKUP($B$6,rekenwaarden!M$8:T$12,4)*Q28)</f>
        <v>11483.333333333332</v>
      </c>
      <c r="AC28" s="160">
        <f t="shared" si="15"/>
        <v>126316.66666666663</v>
      </c>
      <c r="AD28" s="160">
        <f t="shared" si="16"/>
        <v>33820.869999999995</v>
      </c>
      <c r="AE28" s="160">
        <f t="shared" si="17"/>
        <v>3182.369999999999</v>
      </c>
      <c r="AF28" s="160">
        <f t="shared" si="23"/>
        <v>0</v>
      </c>
      <c r="AG28" s="160">
        <f t="shared" si="18"/>
        <v>0</v>
      </c>
      <c r="AH28" s="161">
        <f t="shared" ca="1" si="19"/>
        <v>945.1638899999997</v>
      </c>
      <c r="AI28" s="161">
        <f t="shared" ca="1" si="24"/>
        <v>0</v>
      </c>
      <c r="AJ28" s="161"/>
      <c r="AK28" s="161"/>
      <c r="AL28" s="164">
        <f t="shared" ca="1" si="25"/>
        <v>945.1638899999997</v>
      </c>
    </row>
    <row r="29" spans="1:38" s="113" customFormat="1" ht="15.65" customHeight="1" x14ac:dyDescent="0.25">
      <c r="A29" s="125"/>
      <c r="B29" s="126"/>
      <c r="C29" s="200"/>
      <c r="D29" s="163">
        <f t="shared" si="20"/>
        <v>12</v>
      </c>
      <c r="E29" s="150" t="str">
        <f t="shared" si="20"/>
        <v>december</v>
      </c>
      <c r="F29" s="151">
        <f t="shared" si="20"/>
        <v>46722</v>
      </c>
      <c r="G29" s="151">
        <f t="shared" si="20"/>
        <v>46752</v>
      </c>
      <c r="H29" s="189">
        <f t="shared" si="1"/>
        <v>173</v>
      </c>
      <c r="I29" s="192">
        <f t="shared" si="2"/>
        <v>4620</v>
      </c>
      <c r="J29" s="189">
        <f>IF($E29="","",IF($E30="",SUM(H29:H$30),H29))</f>
        <v>173</v>
      </c>
      <c r="K29" s="192">
        <f>IF($E29="","",IF($E30="",SUM(I29:I$30),I29))</f>
        <v>4620</v>
      </c>
      <c r="L29" s="152">
        <f t="shared" si="3"/>
        <v>40</v>
      </c>
      <c r="M29" s="151">
        <f t="shared" si="4"/>
        <v>46722</v>
      </c>
      <c r="N29" s="151">
        <f t="shared" si="5"/>
        <v>46752</v>
      </c>
      <c r="O29" s="150">
        <f t="shared" si="21"/>
        <v>31</v>
      </c>
      <c r="P29" s="153">
        <f t="shared" si="6"/>
        <v>1</v>
      </c>
      <c r="Q29" s="154">
        <f t="shared" si="7"/>
        <v>8.3333333333333329E-2</v>
      </c>
      <c r="R29" s="155">
        <f t="shared" si="8"/>
        <v>173.33333333333334</v>
      </c>
      <c r="S29" s="156">
        <f t="shared" si="9"/>
        <v>53590</v>
      </c>
      <c r="T29" s="157">
        <f t="shared" si="10"/>
        <v>1996</v>
      </c>
      <c r="U29" s="157">
        <f t="shared" si="11"/>
        <v>2079.9999999999995</v>
      </c>
      <c r="V29" s="158">
        <f t="shared" si="22"/>
        <v>0.95961538461538487</v>
      </c>
      <c r="W29" s="159">
        <f>IF(M29="","",VLOOKUP($B$6,rekenwaarden!M$8:N$12,2))</f>
        <v>8.31</v>
      </c>
      <c r="X29" s="160">
        <f t="shared" si="12"/>
        <v>1437.63</v>
      </c>
      <c r="Y29" s="160">
        <f t="shared" si="13"/>
        <v>16586.760000000006</v>
      </c>
      <c r="Z29" s="160">
        <f>IF(M29="","", VLOOKUP(B$6,rekenwaarden!M$8:T$12,3)*Q29)</f>
        <v>6617.4166666666661</v>
      </c>
      <c r="AA29" s="160">
        <f t="shared" si="14"/>
        <v>79409</v>
      </c>
      <c r="AB29" s="160">
        <f>IF(M29="","", VLOOKUP($B$6,rekenwaarden!M$8:T$12,4)*Q29)</f>
        <v>11483.333333333332</v>
      </c>
      <c r="AC29" s="160">
        <f t="shared" si="15"/>
        <v>137799.99999999997</v>
      </c>
      <c r="AD29" s="160">
        <f t="shared" si="16"/>
        <v>37003.239999999991</v>
      </c>
      <c r="AE29" s="160">
        <f t="shared" si="17"/>
        <v>3182.3699999999953</v>
      </c>
      <c r="AF29" s="160">
        <f t="shared" si="23"/>
        <v>0</v>
      </c>
      <c r="AG29" s="160">
        <f t="shared" si="18"/>
        <v>0</v>
      </c>
      <c r="AH29" s="161">
        <f t="shared" ca="1" si="19"/>
        <v>945.16388999999856</v>
      </c>
      <c r="AI29" s="161">
        <f t="shared" ca="1" si="24"/>
        <v>0</v>
      </c>
      <c r="AJ29" s="161"/>
      <c r="AK29" s="161"/>
      <c r="AL29" s="164">
        <f t="shared" ca="1" si="25"/>
        <v>945.16388999999856</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sheetData>
  <sheetProtection algorithmName="SHA-512" hashValue="H044zOo5CcmsCNoXDHqQCuQOkXWH/KW9fGz2L36BeIfNZfhvgLG51J8iAa1wpfg6dd37G3krN/tl1c9fj/jpQg==" saltValue="ozo4+df9XD4srQhvk4/Zsw==" spinCount="100000" sheet="1" objects="1" scenarios="1"/>
  <protectedRanges>
    <protectedRange sqref="K2:U14" name="Loonaangiftebericht"/>
    <protectedRange sqref="B1:B9" name="Persoon en IKV"/>
  </protectedRanges>
  <mergeCells count="3">
    <mergeCell ref="A11:B11"/>
    <mergeCell ref="A12:B25"/>
    <mergeCell ref="D17:E17"/>
  </mergeCells>
  <dataValidations count="8">
    <dataValidation type="whole" allowBlank="1" showInputMessage="1" showErrorMessage="1" promptTitle="Handboek Loonheffingen: " prompt="Rekenkundig afgeronde hele uren" sqref="N2:N14" xr:uid="{C1CB3B71-C02E-4266-9F05-A115075A4FCF}">
      <formula1>-999</formula1>
      <formula2>999</formula2>
    </dataValidation>
    <dataValidation type="list" allowBlank="1" showInputMessage="1" showErrorMessage="1" sqref="K2:K14" xr:uid="{B279D8EF-B75E-40E3-94FD-0C006B555F2C}">
      <formula1>Code_Reden_Einde_Arbeidsverhouding</formula1>
    </dataValidation>
    <dataValidation type="list" allowBlank="1" showInputMessage="1" showErrorMessage="1" sqref="M2:M14" xr:uid="{7D85AB52-ED21-4779-9883-BE3FADDD7D37}">
      <formula1>Code_Aard_Arbeidsverhouding</formula1>
    </dataValidation>
    <dataValidation type="list" allowBlank="1" showInputMessage="1" showErrorMessage="1" sqref="L2:L14" xr:uid="{165F51AA-4422-43CA-88FD-414E4A9D653E}">
      <formula1>Code_Soort_IKV</formula1>
    </dataValidation>
    <dataValidation type="list" allowBlank="1" showInputMessage="1" showErrorMessage="1" sqref="C2" xr:uid="{F28FF2D0-09D5-4AEB-B430-A0422D19F07C}">
      <formula1>"maandelijks,vierwekelijks"</formula1>
    </dataValidation>
    <dataValidation type="list" allowBlank="1" showInputMessage="1" showErrorMessage="1" sqref="B1:C1" xr:uid="{B4D13F96-BC37-4161-B2B8-FF94D648A66D}">
      <formula1>"2027,2028"</formula1>
    </dataValidation>
    <dataValidation type="list" allowBlank="1" showInputMessage="1" showErrorMessage="1" sqref="B8:C8" xr:uid="{DA4427A6-6A51-41D7-A74D-AF307D6A28B3}">
      <formula1>"WAAR,NIET WAAR"</formula1>
    </dataValidation>
    <dataValidation type="list" allowBlank="1" showInputMessage="1" showErrorMessage="1" sqref="B2" xr:uid="{9CC9F413-5028-4A8D-B838-A5CA875E805B}">
      <formula1>"Maandelijks,Vierwekelijks"</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193BB2F1-468F-4827-A6B4-552D34553AB6}">
          <x14:formula1>
            <xm:f>rekenwaarden!$M$8:$M$12</xm:f>
          </x14:formula1>
          <xm:sqref>B6:C6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5CE65-684B-413F-ADD4-29CA9684D85C}">
  <sheetPr>
    <tabColor theme="4" tint="0.79998168889431442"/>
  </sheetPr>
  <dimension ref="A1:AL30"/>
  <sheetViews>
    <sheetView showGridLines="0" zoomScale="90" zoomScaleNormal="90" workbookViewId="0">
      <pane xSplit="2" ySplit="30" topLeftCell="C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179687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8.1796875" customWidth="1"/>
    <col min="22" max="33" width="15.81640625" customWidth="1"/>
    <col min="34" max="34" width="19.453125" bestFit="1" customWidth="1"/>
    <col min="35" max="35" width="20.453125" customWidth="1"/>
    <col min="36" max="36" width="12.81640625" bestFit="1"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210" t="s">
        <v>18</v>
      </c>
      <c r="W1" s="211" t="s">
        <v>71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IF(OR(Datum_Einde_IKV="",Tabel1353615[[#This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IF(Tabel1353615[[#This Row],[Inkomsten-periode]]="","",DATEDIF(Geboortedatum,Tabel1353615[[#This Row],[DatEindTv]],"Y"))</f>
        <v>33</v>
      </c>
      <c r="I2" s="146">
        <f>IF(Tabel1353615[[#This Row],[Inkomsten-periode]]="","",IF(Datum_Aanvang_IKV="","",Datum_Aanvang_IKV))</f>
        <v>45658</v>
      </c>
      <c r="J2" s="146" t="str">
        <f>IF(Tabel1353615[[#This Row],[Inkomsten-periode]]="","",IF(Datum_Einde_IKV="","",IF(Datum_Einde_IKV&lt;=Tabel1353615[[#This Row],[DatEindTv]],Datum_Einde_IKV,"")))</f>
        <v/>
      </c>
      <c r="K2" s="138"/>
      <c r="L2" s="138">
        <v>15</v>
      </c>
      <c r="M2" s="138">
        <v>1</v>
      </c>
      <c r="N2" s="139">
        <v>173</v>
      </c>
      <c r="O2" s="140">
        <v>4000</v>
      </c>
      <c r="P2" s="140">
        <v>0</v>
      </c>
      <c r="Q2" s="140">
        <v>320</v>
      </c>
      <c r="R2" s="140">
        <v>0</v>
      </c>
      <c r="S2" s="140">
        <v>300</v>
      </c>
      <c r="T2" s="140">
        <v>4000</v>
      </c>
      <c r="U2" s="140"/>
      <c r="V2" s="184">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Row],[OpnAvwb]],0))))</f>
        <v>4620</v>
      </c>
      <c r="W2" s="185">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Row],[AantVerlU]],0))))</f>
        <v>173</v>
      </c>
      <c r="X2" s="184"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f>
        <v/>
      </c>
      <c r="Y2" s="185"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Row],[AantVerlU]],"")),"")</f>
        <v/>
      </c>
    </row>
    <row r="3" spans="1:38" s="113" customFormat="1" ht="16.399999999999999" customHeight="1" x14ac:dyDescent="0.25">
      <c r="A3" s="122" t="s">
        <v>21</v>
      </c>
      <c r="B3" s="133">
        <v>34162</v>
      </c>
      <c r="C3" s="202"/>
      <c r="D3" s="145">
        <f>IF(OR(Datum_Einde_IKV&gt;G2,Datum_Einde_IKV=""),IF(AND($B$2="Maandelijks", COUNTIF($D$1:D2, 12)=1), "",IF(OR(AND($B$2="Maandelijks", D2=12),AND($B$2="Vierwekelijks", D2=13), D2 = "Periode"), 1, D2+1)),"")</f>
        <v>2</v>
      </c>
      <c r="E3" s="145" t="str">
        <f>IF(OR(Datum_Einde_IKV="",Tabel1353615[[#This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IF(Tabel1353615[[#This Row],[Inkomsten-periode]]="","",DATEDIF(Geboortedatum,Tabel1353615[[#This Row],[DatEindTv]],"Y"))</f>
        <v>33</v>
      </c>
      <c r="I3" s="146">
        <f>IF(Tabel1353615[[#This Row],[Inkomsten-periode]]="","",IF(Datum_Aanvang_IKV="","",Datum_Aanvang_IKV))</f>
        <v>45658</v>
      </c>
      <c r="J3" s="146" t="str">
        <f>IF(Tabel1353615[[#This Row],[Inkomsten-periode]]="","",IF(Datum_Einde_IKV="","",IF(Datum_Einde_IKV&lt;=Tabel1353615[[#This Row],[DatEindTv]],Datum_Einde_IKV,"")))</f>
        <v/>
      </c>
      <c r="K3" s="141"/>
      <c r="L3" s="141">
        <v>15</v>
      </c>
      <c r="M3" s="141">
        <v>1</v>
      </c>
      <c r="N3" s="142">
        <v>173</v>
      </c>
      <c r="O3" s="143">
        <v>4000</v>
      </c>
      <c r="P3" s="143">
        <v>0</v>
      </c>
      <c r="Q3" s="143">
        <v>320</v>
      </c>
      <c r="R3" s="143">
        <v>0</v>
      </c>
      <c r="S3" s="143">
        <v>300</v>
      </c>
      <c r="T3" s="143">
        <v>4000</v>
      </c>
      <c r="U3" s="143"/>
      <c r="V3" s="184">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Row],[OpnAvwb]],0))))</f>
        <v>4620</v>
      </c>
      <c r="W3" s="186">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Row],[AantVerlU]],0))))</f>
        <v>173</v>
      </c>
      <c r="X3" s="184"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f>
        <v/>
      </c>
      <c r="Y3" s="186"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Row],[AantVerlU]],"")),"")</f>
        <v/>
      </c>
    </row>
    <row r="4" spans="1:38" s="113" customFormat="1" ht="16.399999999999999" customHeight="1" x14ac:dyDescent="0.25">
      <c r="A4" s="122" t="s">
        <v>22</v>
      </c>
      <c r="B4" s="134">
        <v>45658</v>
      </c>
      <c r="C4" s="202"/>
      <c r="D4" s="144">
        <f>IF(OR(Datum_Einde_IKV&gt;G3,Datum_Einde_IKV=""),IF(AND($B$2="Maandelijks", COUNTIF($D$1:D3, 12)=1), "",IF(OR(AND($B$2="Maandelijks", D3=12),AND($B$2="Vierwekelijks", D3=13), D3 = "Periode"), 1, D3+1)),"")</f>
        <v>3</v>
      </c>
      <c r="E4" s="145" t="str">
        <f>IF(OR(Datum_Einde_IKV="",Tabel1353615[[#This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IF(Tabel1353615[[#This Row],[Inkomsten-periode]]="","",DATEDIF(Geboortedatum,Tabel1353615[[#This Row],[DatEindTv]],"Y"))</f>
        <v>33</v>
      </c>
      <c r="I4" s="146">
        <f>IF(Tabel1353615[[#This Row],[Inkomsten-periode]]="","",IF(Datum_Aanvang_IKV="","",Datum_Aanvang_IKV))</f>
        <v>45658</v>
      </c>
      <c r="J4" s="146" t="str">
        <f>IF(Tabel1353615[[#This Row],[Inkomsten-periode]]="","",IF(Datum_Einde_IKV="","",IF(Datum_Einde_IKV&lt;=Tabel1353615[[#This Row],[DatEindTv]],Datum_Einde_IKV,"")))</f>
        <v/>
      </c>
      <c r="K4" s="138"/>
      <c r="L4" s="138">
        <v>15</v>
      </c>
      <c r="M4" s="138">
        <v>1</v>
      </c>
      <c r="N4" s="139">
        <v>173</v>
      </c>
      <c r="O4" s="140">
        <v>4000</v>
      </c>
      <c r="P4" s="140">
        <v>0</v>
      </c>
      <c r="Q4" s="140">
        <v>320</v>
      </c>
      <c r="R4" s="140">
        <v>0</v>
      </c>
      <c r="S4" s="140">
        <v>300</v>
      </c>
      <c r="T4" s="140">
        <v>4000</v>
      </c>
      <c r="U4" s="140"/>
      <c r="V4" s="184">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Row],[OpnAvwb]],0))))</f>
        <v>4620</v>
      </c>
      <c r="W4" s="186">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Row],[AantVerlU]],0))))</f>
        <v>173</v>
      </c>
      <c r="X4" s="184"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f>
        <v/>
      </c>
      <c r="Y4" s="186"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Row],[AantVerlU]],"")),"")</f>
        <v/>
      </c>
    </row>
    <row r="5" spans="1:38" s="113" customFormat="1" ht="16.399999999999999" customHeight="1" x14ac:dyDescent="0.25">
      <c r="A5" s="122" t="s">
        <v>23</v>
      </c>
      <c r="B5" s="133"/>
      <c r="C5" s="202"/>
      <c r="D5" s="145">
        <f>IF(OR(Datum_Einde_IKV&gt;G4,Datum_Einde_IKV=""),IF(AND($B$2="Maandelijks", COUNTIF($D$1:D4, 12)=1), "",IF(OR(AND($B$2="Maandelijks", D4=12),AND($B$2="Vierwekelijks", D4=13), D4 = "Periode"), 1, D4+1)),"")</f>
        <v>4</v>
      </c>
      <c r="E5" s="145" t="str">
        <f>IF(OR(Datum_Einde_IKV="",Tabel1353615[[#This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IF(Tabel1353615[[#This Row],[Inkomsten-periode]]="","",DATEDIF(Geboortedatum,Tabel1353615[[#This Row],[DatEindTv]],"Y"))</f>
        <v>33</v>
      </c>
      <c r="I5" s="146">
        <f>IF(Tabel1353615[[#This Row],[Inkomsten-periode]]="","",IF(Datum_Aanvang_IKV="","",Datum_Aanvang_IKV))</f>
        <v>45658</v>
      </c>
      <c r="J5" s="146" t="str">
        <f>IF(Tabel1353615[[#This Row],[Inkomsten-periode]]="","",IF(Datum_Einde_IKV="","",IF(Datum_Einde_IKV&lt;=Tabel1353615[[#This Row],[DatEindTv]],Datum_Einde_IKV,"")))</f>
        <v/>
      </c>
      <c r="K5" s="141"/>
      <c r="L5" s="141">
        <v>15</v>
      </c>
      <c r="M5" s="141">
        <v>1</v>
      </c>
      <c r="N5" s="142">
        <v>173</v>
      </c>
      <c r="O5" s="143">
        <v>4000</v>
      </c>
      <c r="P5" s="143">
        <v>0</v>
      </c>
      <c r="Q5" s="143">
        <v>320</v>
      </c>
      <c r="R5" s="143">
        <v>0</v>
      </c>
      <c r="S5" s="143">
        <v>300</v>
      </c>
      <c r="T5" s="143">
        <v>4000</v>
      </c>
      <c r="U5" s="143"/>
      <c r="V5" s="184">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Row],[OpnAvwb]],0))))</f>
        <v>4620</v>
      </c>
      <c r="W5" s="186">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Row],[AantVerlU]],0))))</f>
        <v>173</v>
      </c>
      <c r="X5" s="184"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f>
        <v/>
      </c>
      <c r="Y5" s="186"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Row],[AantVerlU]],"")),"")</f>
        <v/>
      </c>
    </row>
    <row r="6" spans="1:38" s="113" customFormat="1" ht="16.399999999999999" customHeight="1" x14ac:dyDescent="0.25">
      <c r="A6" s="122" t="s">
        <v>24</v>
      </c>
      <c r="B6" s="135" t="s">
        <v>176</v>
      </c>
      <c r="C6" s="203"/>
      <c r="D6" s="144">
        <f>IF(OR(Datum_Einde_IKV&gt;G5,Datum_Einde_IKV=""),IF(AND($B$2="Maandelijks", COUNTIF($D$1:D5, 12)=1), "",IF(OR(AND($B$2="Maandelijks", D5=12),AND($B$2="Vierwekelijks", D5=13), D5 = "Periode"), 1, D5+1)),"")</f>
        <v>5</v>
      </c>
      <c r="E6" s="145" t="str">
        <f>IF(OR(Datum_Einde_IKV="",Tabel1353615[[#This Row],[DatAanvTv]]&lt;Datum_Einde_IKV),IF(E5="december","",IF(Verloningsperiodiciteit="maandelijks",rekenwaarden!F7,_xlfn.CONCAT("Periode ",rekenwaarden!E7))),"")</f>
        <v>mei</v>
      </c>
      <c r="F6" s="146">
        <f t="shared" si="0"/>
        <v>46508</v>
      </c>
      <c r="G6" s="146">
        <f>IF(F6="", "", IF(Verloningsperiodiciteit="Vierwekelijks", _xlfn.XLOOKUP(F6,rekenwaarden!$C$3:$C$54,rekenwaarden!$D$3:$D$54,"niet gevonden",-1), _xlfn.XLOOKUP(F6,rekenwaarden!$I$3:$I$54,rekenwaarden!$J$3:$J$54,"niet gevonden",-1)))</f>
        <v>46538</v>
      </c>
      <c r="H6" s="147">
        <f>IF(Tabel1353615[[#This Row],[Inkomsten-periode]]="","",DATEDIF(Geboortedatum,Tabel1353615[[#This Row],[DatEindTv]],"Y"))</f>
        <v>33</v>
      </c>
      <c r="I6" s="146">
        <f>IF(Tabel1353615[[#This Row],[Inkomsten-periode]]="","",IF(Datum_Aanvang_IKV="","",Datum_Aanvang_IKV))</f>
        <v>45658</v>
      </c>
      <c r="J6" s="146" t="str">
        <f>IF(Tabel1353615[[#This Row],[Inkomsten-periode]]="","",IF(Datum_Einde_IKV="","",IF(Datum_Einde_IKV&lt;=Tabel1353615[[#This Row],[DatEindTv]],Datum_Einde_IKV,"")))</f>
        <v/>
      </c>
      <c r="K6" s="138"/>
      <c r="L6" s="138">
        <v>15</v>
      </c>
      <c r="M6" s="138">
        <v>1</v>
      </c>
      <c r="N6" s="139">
        <v>173</v>
      </c>
      <c r="O6" s="140">
        <v>7840</v>
      </c>
      <c r="P6" s="140">
        <v>3840</v>
      </c>
      <c r="Q6" s="140">
        <v>320</v>
      </c>
      <c r="R6" s="140">
        <v>0</v>
      </c>
      <c r="S6" s="140">
        <v>300</v>
      </c>
      <c r="T6" s="140">
        <v>7840</v>
      </c>
      <c r="U6" s="140"/>
      <c r="V6" s="184">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Row],[OpnAvwb]],0))))</f>
        <v>4620</v>
      </c>
      <c r="W6" s="186">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Row],[AantVerlU]],0))))</f>
        <v>173</v>
      </c>
      <c r="X6" s="184"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f>
        <v/>
      </c>
      <c r="Y6" s="186"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Row],[AantVerlU]],"")),"")</f>
        <v/>
      </c>
    </row>
    <row r="7" spans="1:38" s="113" customFormat="1" ht="16.399999999999999" customHeight="1" x14ac:dyDescent="0.25">
      <c r="A7" s="122" t="s">
        <v>26</v>
      </c>
      <c r="B7" s="136">
        <f>VLOOKUP(B6,rekenwaarden!M8:T12,8)</f>
        <v>40</v>
      </c>
      <c r="C7" s="204"/>
      <c r="D7" s="145">
        <f>IF(OR(Datum_Einde_IKV&gt;G6,Datum_Einde_IKV=""),IF(AND($B$2="Maandelijks", COUNTIF($D$1:D6, 12)=1), "",IF(OR(AND($B$2="Maandelijks", D6=12),AND($B$2="Vierwekelijks", D6=13), D6 = "Periode"), 1, D6+1)),"")</f>
        <v>6</v>
      </c>
      <c r="E7" s="145" t="str">
        <f>IF(OR(Datum_Einde_IKV="",Tabel1353615[[#This Row],[DatAanvTv]]&lt;Datum_Einde_IKV),IF(E6="december","",IF(Verloningsperiodiciteit="maandelijks",rekenwaarden!F8,_xlfn.CONCAT("Periode ",rekenwaarden!E8))),"")</f>
        <v>juni</v>
      </c>
      <c r="F7" s="146">
        <f t="shared" si="0"/>
        <v>46539</v>
      </c>
      <c r="G7" s="146">
        <f>IF(F7="", "", IF(Verloningsperiodiciteit="Vierwekelijks", _xlfn.XLOOKUP(F7,rekenwaarden!$C$3:$C$54,rekenwaarden!$D$3:$D$54,"niet gevonden",-1), _xlfn.XLOOKUP(F7,rekenwaarden!$I$3:$I$54,rekenwaarden!$J$3:$J$54,"niet gevonden",-1)))</f>
        <v>46568</v>
      </c>
      <c r="H7" s="147">
        <f>IF(Tabel1353615[[#This Row],[Inkomsten-periode]]="","",DATEDIF(Geboortedatum,Tabel1353615[[#This Row],[DatEindTv]],"Y"))</f>
        <v>33</v>
      </c>
      <c r="I7" s="146">
        <f>IF(Tabel1353615[[#This Row],[Inkomsten-periode]]="","",IF(Datum_Aanvang_IKV="","",Datum_Aanvang_IKV))</f>
        <v>45658</v>
      </c>
      <c r="J7" s="146" t="str">
        <f>IF(Tabel1353615[[#This Row],[Inkomsten-periode]]="","",IF(Datum_Einde_IKV="","",IF(Datum_Einde_IKV&lt;=Tabel1353615[[#This Row],[DatEindTv]],Datum_Einde_IKV,"")))</f>
        <v/>
      </c>
      <c r="K7" s="141"/>
      <c r="L7" s="141">
        <v>15</v>
      </c>
      <c r="M7" s="141">
        <v>1</v>
      </c>
      <c r="N7" s="142">
        <v>173</v>
      </c>
      <c r="O7" s="143">
        <v>4000</v>
      </c>
      <c r="P7" s="143">
        <v>0</v>
      </c>
      <c r="Q7" s="143">
        <v>320</v>
      </c>
      <c r="R7" s="143">
        <v>0</v>
      </c>
      <c r="S7" s="143">
        <v>300</v>
      </c>
      <c r="T7" s="143">
        <v>4000</v>
      </c>
      <c r="U7" s="143"/>
      <c r="V7" s="184">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Row],[OpnAvwb]],0))))</f>
        <v>4620</v>
      </c>
      <c r="W7" s="186">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Row],[AantVerlU]],0))))</f>
        <v>173</v>
      </c>
      <c r="X7" s="184"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f>
        <v/>
      </c>
      <c r="Y7" s="186"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Row],[AantVerlU]],"")),"")</f>
        <v/>
      </c>
    </row>
    <row r="8" spans="1:38" s="113" customFormat="1" ht="16.399999999999999" customHeight="1" x14ac:dyDescent="0.25">
      <c r="A8" s="122" t="s">
        <v>27</v>
      </c>
      <c r="B8" s="137" t="b">
        <v>1</v>
      </c>
      <c r="C8" s="202"/>
      <c r="D8" s="144">
        <f>IF(OR(Datum_Einde_IKV&gt;G7,Datum_Einde_IKV=""),IF(AND($B$2="Maandelijks", COUNTIF($D$1:D7, 12)=1), "",IF(OR(AND($B$2="Maandelijks", D7=12),AND($B$2="Vierwekelijks", D7=13), D7 = "Periode"), 1, D7+1)),"")</f>
        <v>7</v>
      </c>
      <c r="E8" s="145" t="str">
        <f>IF(OR(Datum_Einde_IKV="",Tabel1353615[[#This Row],[DatAanvTv]]&lt;Datum_Einde_IKV),IF(E7="december","",IF(Verloningsperiodiciteit="maandelijks",rekenwaarden!F9,_xlfn.CONCAT("Periode ",rekenwaarden!E9))),"")</f>
        <v>juli</v>
      </c>
      <c r="F8" s="146">
        <f t="shared" si="0"/>
        <v>46569</v>
      </c>
      <c r="G8" s="146">
        <f>IF(F8="", "", IF(Verloningsperiodiciteit="Vierwekelijks", _xlfn.XLOOKUP(F8,rekenwaarden!$C$3:$C$54,rekenwaarden!$D$3:$D$54,"niet gevonden",-1), _xlfn.XLOOKUP(F8,rekenwaarden!$I$3:$I$54,rekenwaarden!$J$3:$J$54,"niet gevonden",-1)))</f>
        <v>46599</v>
      </c>
      <c r="H8" s="147">
        <f>IF(Tabel1353615[[#This Row],[Inkomsten-periode]]="","",DATEDIF(Geboortedatum,Tabel1353615[[#This Row],[DatEindTv]],"Y"))</f>
        <v>34</v>
      </c>
      <c r="I8" s="146">
        <f>IF(Tabel1353615[[#This Row],[Inkomsten-periode]]="","",IF(Datum_Aanvang_IKV="","",Datum_Aanvang_IKV))</f>
        <v>45658</v>
      </c>
      <c r="J8" s="146" t="str">
        <f>IF(Tabel1353615[[#This Row],[Inkomsten-periode]]="","",IF(Datum_Einde_IKV="","",IF(Datum_Einde_IKV&lt;=Tabel1353615[[#This Row],[DatEindTv]],Datum_Einde_IKV,"")))</f>
        <v/>
      </c>
      <c r="K8" s="138"/>
      <c r="L8" s="138">
        <v>15</v>
      </c>
      <c r="M8" s="138">
        <v>1</v>
      </c>
      <c r="N8" s="139">
        <v>173</v>
      </c>
      <c r="O8" s="140">
        <v>4000</v>
      </c>
      <c r="P8" s="140">
        <v>0</v>
      </c>
      <c r="Q8" s="140">
        <v>320</v>
      </c>
      <c r="R8" s="140">
        <v>0</v>
      </c>
      <c r="S8" s="140">
        <v>300</v>
      </c>
      <c r="T8" s="140">
        <v>4000</v>
      </c>
      <c r="U8" s="140"/>
      <c r="V8" s="184">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Row],[OpnAvwb]],0))))</f>
        <v>4620</v>
      </c>
      <c r="W8" s="186">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Row],[AantVerlU]],0))))</f>
        <v>173</v>
      </c>
      <c r="X8" s="184"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f>
        <v/>
      </c>
      <c r="Y8" s="186"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Row],[AantVerlU]],"")),"")</f>
        <v/>
      </c>
    </row>
    <row r="9" spans="1:38" s="113" customFormat="1" ht="16.399999999999999" customHeight="1" x14ac:dyDescent="0.25">
      <c r="A9" s="122"/>
      <c r="B9" s="131"/>
      <c r="C9" s="200"/>
      <c r="D9" s="145">
        <f>IF(OR(Datum_Einde_IKV&gt;G8,Datum_Einde_IKV=""),IF(AND($B$2="Maandelijks", COUNTIF($D$1:D8, 12)=1), "",IF(OR(AND($B$2="Maandelijks", D8=12),AND($B$2="Vierwekelijks", D8=13), D8 = "Periode"), 1, D8+1)),"")</f>
        <v>8</v>
      </c>
      <c r="E9" s="145" t="str">
        <f>IF(OR(Datum_Einde_IKV="",Tabel1353615[[#This Row],[DatAanvTv]]&lt;Datum_Einde_IKV),IF(E8="december","",IF(Verloningsperiodiciteit="maandelijks",rekenwaarden!F10,_xlfn.CONCAT("Periode ",rekenwaarden!E10))),"")</f>
        <v>augustus</v>
      </c>
      <c r="F9" s="146">
        <f t="shared" si="0"/>
        <v>46600</v>
      </c>
      <c r="G9" s="146">
        <f>IF(F9="", "", IF(Verloningsperiodiciteit="Vierwekelijks", _xlfn.XLOOKUP(F9,rekenwaarden!$C$3:$C$54,rekenwaarden!$D$3:$D$54,"niet gevonden",-1), _xlfn.XLOOKUP(F9,rekenwaarden!$I$3:$I$54,rekenwaarden!$J$3:$J$54,"niet gevonden",-1)))</f>
        <v>46630</v>
      </c>
      <c r="H9" s="147">
        <f>IF(Tabel1353615[[#This Row],[Inkomsten-periode]]="","",DATEDIF(Geboortedatum,Tabel1353615[[#This Row],[DatEindTv]],"Y"))</f>
        <v>34</v>
      </c>
      <c r="I9" s="146">
        <f>IF(Tabel1353615[[#This Row],[Inkomsten-periode]]="","",IF(Datum_Aanvang_IKV="","",Datum_Aanvang_IKV))</f>
        <v>45658</v>
      </c>
      <c r="J9" s="146" t="str">
        <f>IF(Tabel1353615[[#This Row],[Inkomsten-periode]]="","",IF(Datum_Einde_IKV="","",IF(Datum_Einde_IKV&lt;=Tabel1353615[[#This Row],[DatEindTv]],Datum_Einde_IKV,"")))</f>
        <v/>
      </c>
      <c r="K9" s="141"/>
      <c r="L9" s="141">
        <v>15</v>
      </c>
      <c r="M9" s="141">
        <v>1</v>
      </c>
      <c r="N9" s="142">
        <v>173</v>
      </c>
      <c r="O9" s="143">
        <v>4035</v>
      </c>
      <c r="P9" s="143">
        <v>0</v>
      </c>
      <c r="Q9" s="143">
        <v>320</v>
      </c>
      <c r="R9" s="143">
        <v>0</v>
      </c>
      <c r="S9" s="143">
        <v>300</v>
      </c>
      <c r="T9" s="143">
        <v>4035</v>
      </c>
      <c r="U9" s="143"/>
      <c r="V9" s="184">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Row],[OpnAvwb]],0))))</f>
        <v>4655</v>
      </c>
      <c r="W9" s="186">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Row],[AantVerlU]],0))))</f>
        <v>173</v>
      </c>
      <c r="X9" s="184"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f>
        <v/>
      </c>
      <c r="Y9" s="186"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Row],[AantVerlU]],"")),"")</f>
        <v/>
      </c>
    </row>
    <row r="10" spans="1:38" s="113" customFormat="1" ht="16.399999999999999" customHeight="1" thickBot="1" x14ac:dyDescent="0.3">
      <c r="A10" s="200"/>
      <c r="B10" s="200"/>
      <c r="C10" s="200"/>
      <c r="D10" s="144">
        <f>IF(OR(Datum_Einde_IKV&gt;G9,Datum_Einde_IKV=""),IF(AND($B$2="Maandelijks", COUNTIF($D$1:D9, 12)=1), "",IF(OR(AND($B$2="Maandelijks", D9=12),AND($B$2="Vierwekelijks", D9=13), D9 = "Periode"), 1, D9+1)),"")</f>
        <v>9</v>
      </c>
      <c r="E10" s="145" t="str">
        <f>IF(OR(Datum_Einde_IKV="",Tabel1353615[[#This Row],[DatAanvTv]]&lt;Datum_Einde_IKV),IF(E9="december","",IF(Verloningsperiodiciteit="maandelijks",rekenwaarden!F11,_xlfn.CONCAT("Periode ",rekenwaarden!E11))),"")</f>
        <v>september</v>
      </c>
      <c r="F10" s="146">
        <f t="shared" si="0"/>
        <v>46631</v>
      </c>
      <c r="G10" s="146">
        <f>IF(F10="", "", IF(Verloningsperiodiciteit="Vierwekelijks", _xlfn.XLOOKUP(F10,rekenwaarden!$C$3:$C$54,rekenwaarden!$D$3:$D$54,"niet gevonden",-1), _xlfn.XLOOKUP(F10,rekenwaarden!$I$3:$I$54,rekenwaarden!$J$3:$J$54,"niet gevonden",-1)))</f>
        <v>46660</v>
      </c>
      <c r="H10" s="147">
        <f>IF(Tabel1353615[[#This Row],[Inkomsten-periode]]="","",DATEDIF(Geboortedatum,Tabel1353615[[#This Row],[DatEindTv]],"Y"))</f>
        <v>34</v>
      </c>
      <c r="I10" s="146">
        <f>IF(Tabel1353615[[#This Row],[Inkomsten-periode]]="","",IF(Datum_Aanvang_IKV="","",Datum_Aanvang_IKV))</f>
        <v>45658</v>
      </c>
      <c r="J10" s="146" t="str">
        <f>IF(Tabel1353615[[#This Row],[Inkomsten-periode]]="","",IF(Datum_Einde_IKV="","",IF(Datum_Einde_IKV&lt;=Tabel1353615[[#This Row],[DatEindTv]],Datum_Einde_IKV,"")))</f>
        <v/>
      </c>
      <c r="K10" s="138"/>
      <c r="L10" s="138">
        <v>15</v>
      </c>
      <c r="M10" s="138">
        <v>1</v>
      </c>
      <c r="N10" s="139">
        <v>173</v>
      </c>
      <c r="O10" s="140">
        <v>4035</v>
      </c>
      <c r="P10" s="140">
        <v>0</v>
      </c>
      <c r="Q10" s="140">
        <v>320</v>
      </c>
      <c r="R10" s="140">
        <v>0</v>
      </c>
      <c r="S10" s="140">
        <v>300</v>
      </c>
      <c r="T10" s="140">
        <v>4035</v>
      </c>
      <c r="U10" s="140"/>
      <c r="V10" s="184">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Row],[OpnAvwb]],0))))</f>
        <v>4655</v>
      </c>
      <c r="W10" s="186">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Row],[AantVerlU]],0))))</f>
        <v>173</v>
      </c>
      <c r="X10" s="184"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f>
        <v/>
      </c>
      <c r="Y10" s="186"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Row],[AantVerlU]],"")),"")</f>
        <v/>
      </c>
    </row>
    <row r="11" spans="1:38" s="113" customFormat="1" ht="16.399999999999999" customHeight="1" x14ac:dyDescent="0.25">
      <c r="A11" s="245" t="s">
        <v>65</v>
      </c>
      <c r="B11" s="246"/>
      <c r="C11" s="200"/>
      <c r="D11" s="145">
        <f>IF(OR(Datum_Einde_IKV&gt;G10,Datum_Einde_IKV=""),IF(AND($B$2="Maandelijks", COUNTIF($D$1:D10, 12)=1), "",IF(OR(AND($B$2="Maandelijks", D10=12),AND($B$2="Vierwekelijks", D10=13), D10 = "Periode"), 1, D10+1)),"")</f>
        <v>10</v>
      </c>
      <c r="E11" s="145" t="str">
        <f>IF(OR(Datum_Einde_IKV="",Tabel1353615[[#This Row],[DatAanvTv]]&lt;Datum_Einde_IKV),IF(E10="december","",IF(Verloningsperiodiciteit="maandelijks",rekenwaarden!F12,_xlfn.CONCAT("Periode ",rekenwaarden!E12))),"")</f>
        <v>oktober</v>
      </c>
      <c r="F11" s="146">
        <f t="shared" si="0"/>
        <v>46661</v>
      </c>
      <c r="G11" s="146">
        <f>IF(F11="", "", IF(Verloningsperiodiciteit="Vierwekelijks", _xlfn.XLOOKUP(F11,rekenwaarden!$C$3:$C$54,rekenwaarden!$D$3:$D$54,"niet gevonden",-1), _xlfn.XLOOKUP(F11,rekenwaarden!$I$3:$I$54,rekenwaarden!$J$3:$J$54,"niet gevonden",-1)))</f>
        <v>46691</v>
      </c>
      <c r="H11" s="147">
        <f>IF(Tabel1353615[[#This Row],[Inkomsten-periode]]="","",DATEDIF(Geboortedatum,Tabel1353615[[#This Row],[DatEindTv]],"Y"))</f>
        <v>34</v>
      </c>
      <c r="I11" s="146">
        <f>IF(Tabel1353615[[#This Row],[Inkomsten-periode]]="","",IF(Datum_Aanvang_IKV="","",Datum_Aanvang_IKV))</f>
        <v>45658</v>
      </c>
      <c r="J11" s="146" t="str">
        <f>IF(Tabel1353615[[#This Row],[Inkomsten-periode]]="","",IF(Datum_Einde_IKV="","",IF(Datum_Einde_IKV&lt;=Tabel1353615[[#This Row],[DatEindTv]],Datum_Einde_IKV,"")))</f>
        <v/>
      </c>
      <c r="K11" s="141"/>
      <c r="L11" s="141">
        <v>15</v>
      </c>
      <c r="M11" s="141">
        <v>1</v>
      </c>
      <c r="N11" s="142">
        <v>173</v>
      </c>
      <c r="O11" s="143">
        <v>4035</v>
      </c>
      <c r="P11" s="143">
        <v>0</v>
      </c>
      <c r="Q11" s="143">
        <v>320</v>
      </c>
      <c r="R11" s="143">
        <v>0</v>
      </c>
      <c r="S11" s="143">
        <v>300</v>
      </c>
      <c r="T11" s="143">
        <v>4035</v>
      </c>
      <c r="U11" s="143"/>
      <c r="V11" s="184">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Row],[OpnAvwb]],0))))</f>
        <v>4655</v>
      </c>
      <c r="W11" s="186">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Row],[AantVerlU]],0))))</f>
        <v>173</v>
      </c>
      <c r="X11" s="184"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f>
        <v/>
      </c>
      <c r="Y11" s="186"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Row],[AantVerlU]],"")),"")</f>
        <v/>
      </c>
    </row>
    <row r="12" spans="1:38" s="113" customFormat="1" ht="16.399999999999999" customHeight="1" x14ac:dyDescent="0.25">
      <c r="A12" s="249" t="s">
        <v>177</v>
      </c>
      <c r="B12" s="250"/>
      <c r="C12" s="200"/>
      <c r="D12" s="144">
        <f>IF(OR(Datum_Einde_IKV&gt;G11,Datum_Einde_IKV=""),IF(AND($B$2="Maandelijks", COUNTIF($D$1:D11, 12)=1), "",IF(OR(AND($B$2="Maandelijks", D11=12),AND($B$2="Vierwekelijks", D11=13), D11 = "Periode"), 1, D11+1)),"")</f>
        <v>11</v>
      </c>
      <c r="E12" s="145" t="str">
        <f>IF(OR(Datum_Einde_IKV="",Tabel1353615[[#This Row],[DatAanvTv]]&lt;Datum_Einde_IKV),IF(E11="december","",IF(Verloningsperiodiciteit="maandelijks",rekenwaarden!F13,_xlfn.CONCAT("Periode ",rekenwaarden!E13))),"")</f>
        <v>november</v>
      </c>
      <c r="F12" s="146">
        <f t="shared" si="0"/>
        <v>46692</v>
      </c>
      <c r="G12" s="146">
        <f>IF(F12="", "", IF(Verloningsperiodiciteit="Vierwekelijks", _xlfn.XLOOKUP(F12,rekenwaarden!$C$3:$C$54,rekenwaarden!$D$3:$D$54,"niet gevonden",-1), _xlfn.XLOOKUP(F12,rekenwaarden!$I$3:$I$54,rekenwaarden!$J$3:$J$54,"niet gevonden",-1)))</f>
        <v>46721</v>
      </c>
      <c r="H12" s="147">
        <f>IF(Tabel1353615[[#This Row],[Inkomsten-periode]]="","",DATEDIF(Geboortedatum,Tabel1353615[[#This Row],[DatEindTv]],"Y"))</f>
        <v>34</v>
      </c>
      <c r="I12" s="146">
        <f>IF(Tabel1353615[[#This Row],[Inkomsten-periode]]="","",IF(Datum_Aanvang_IKV="","",Datum_Aanvang_IKV))</f>
        <v>45658</v>
      </c>
      <c r="J12" s="146" t="str">
        <f>IF(Tabel1353615[[#This Row],[Inkomsten-periode]]="","",IF(Datum_Einde_IKV="","",IF(Datum_Einde_IKV&lt;=Tabel1353615[[#This Row],[DatEindTv]],Datum_Einde_IKV,"")))</f>
        <v/>
      </c>
      <c r="K12" s="138"/>
      <c r="L12" s="138">
        <v>15</v>
      </c>
      <c r="M12" s="138">
        <v>1</v>
      </c>
      <c r="N12" s="139">
        <v>173</v>
      </c>
      <c r="O12" s="140">
        <v>4035</v>
      </c>
      <c r="P12" s="140">
        <v>0</v>
      </c>
      <c r="Q12" s="140">
        <v>320</v>
      </c>
      <c r="R12" s="140">
        <v>0</v>
      </c>
      <c r="S12" s="140">
        <v>300</v>
      </c>
      <c r="T12" s="140">
        <v>4035</v>
      </c>
      <c r="U12" s="140"/>
      <c r="V12" s="184">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Row],[OpnAvwb]],0))))</f>
        <v>4655</v>
      </c>
      <c r="W12" s="186">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Row],[AantVerlU]],0))))</f>
        <v>173</v>
      </c>
      <c r="X12" s="184"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f>
        <v/>
      </c>
      <c r="Y12" s="186"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Row],[AantVerlU]],"")),"")</f>
        <v/>
      </c>
    </row>
    <row r="13" spans="1:38" s="113" customFormat="1" ht="16.399999999999999" customHeight="1" x14ac:dyDescent="0.25">
      <c r="A13" s="249"/>
      <c r="B13" s="250"/>
      <c r="C13" s="200"/>
      <c r="D13" s="145">
        <f>IF(OR(Datum_Einde_IKV&gt;G12,Datum_Einde_IKV=""),IF(AND($B$2="Maandelijks", COUNTIF($D$1:D12, 12)=1), "",IF(OR(AND($B$2="Maandelijks", D12=12),AND($B$2="Vierwekelijks", D12=13), D12 = "Periode"), 1, D12+1)),"")</f>
        <v>12</v>
      </c>
      <c r="E13" s="145" t="str">
        <f>IF(OR(Datum_Einde_IKV="",Tabel1353615[[#This Row],[DatAanvTv]]&lt;Datum_Einde_IKV),IF(E12="december","",IF(Verloningsperiodiciteit="maandelijks",rekenwaarden!F14,_xlfn.CONCAT("Periode ",rekenwaarden!E14))),"")</f>
        <v>december</v>
      </c>
      <c r="F13" s="146">
        <f t="shared" si="0"/>
        <v>46722</v>
      </c>
      <c r="G13" s="146">
        <f>IF(F13="", "", IF(Verloningsperiodiciteit="Vierwekelijks", _xlfn.XLOOKUP(F13,rekenwaarden!$C$3:$C$54,rekenwaarden!$D$3:$D$54,"niet gevonden",-1), _xlfn.XLOOKUP(F13,rekenwaarden!$I$3:$I$54,rekenwaarden!$J$3:$J$54,"niet gevonden",-1)))</f>
        <v>46752</v>
      </c>
      <c r="H13" s="147">
        <f>IF(Tabel1353615[[#This Row],[Inkomsten-periode]]="","",DATEDIF(Geboortedatum,Tabel1353615[[#This Row],[DatEindTv]],"Y"))</f>
        <v>34</v>
      </c>
      <c r="I13" s="146">
        <f>IF(Tabel1353615[[#This Row],[Inkomsten-periode]]="","",IF(Datum_Aanvang_IKV="","",Datum_Aanvang_IKV))</f>
        <v>45658</v>
      </c>
      <c r="J13" s="146" t="str">
        <f>IF(Tabel1353615[[#This Row],[Inkomsten-periode]]="","",IF(Datum_Einde_IKV="","",IF(Datum_Einde_IKV&lt;=Tabel1353615[[#This Row],[DatEindTv]],Datum_Einde_IKV,"")))</f>
        <v/>
      </c>
      <c r="K13" s="141"/>
      <c r="L13" s="141">
        <v>15</v>
      </c>
      <c r="M13" s="141">
        <v>1</v>
      </c>
      <c r="N13" s="142">
        <v>173</v>
      </c>
      <c r="O13" s="143">
        <v>7635</v>
      </c>
      <c r="P13" s="143">
        <v>0</v>
      </c>
      <c r="Q13" s="143">
        <v>320</v>
      </c>
      <c r="R13" s="143">
        <v>3600</v>
      </c>
      <c r="S13" s="143">
        <v>300</v>
      </c>
      <c r="T13" s="143">
        <v>7635</v>
      </c>
      <c r="U13" s="143"/>
      <c r="V13" s="184">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Row],[OpnAvwb]],0))))</f>
        <v>4655</v>
      </c>
      <c r="W13" s="186">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Row],[AantVerlU]],0))))</f>
        <v>173</v>
      </c>
      <c r="X13" s="184"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f>
        <v/>
      </c>
      <c r="Y13" s="186"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Row],[AantVerlU]],"")),"")</f>
        <v/>
      </c>
    </row>
    <row r="14" spans="1:38" s="113" customFormat="1" ht="16.399999999999999" customHeight="1" x14ac:dyDescent="0.25">
      <c r="A14" s="249"/>
      <c r="B14" s="250"/>
      <c r="C14" s="200"/>
      <c r="D14" s="144" t="str">
        <f>IF(OR(Datum_Einde_IKV&gt;G13,Datum_Einde_IKV=""),IF(AND($B$2="Maandelijks", COUNTIF($D$1:D13, 12)=1), "",IF(OR(AND($B$2="Maandelijks", D13=12),AND($B$2="Vierwekelijks", D13=13), D13 = "Periode"), 1, D13+1)),"")</f>
        <v/>
      </c>
      <c r="E14" s="145" t="str">
        <f>IF(OR(Datum_Einde_IKV="",Tabel1353615[[#This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IF(Tabel1353615[[#This Row],[Inkomsten-periode]]="","",DATEDIF(Geboortedatum,Tabel1353615[[#This Row],[DatEindTv]],"Y"))</f>
        <v/>
      </c>
      <c r="I14" s="146" t="str">
        <f>IF(Tabel1353615[[#This Row],[Inkomsten-periode]]="","",IF(Datum_Aanvang_IKV="","",Datum_Aanvang_IKV))</f>
        <v/>
      </c>
      <c r="J14" s="146" t="str">
        <f>IF(Tabel1353615[[#This Row],[Inkomsten-periode]]="","",IF(Datum_Einde_IKV="","",IF(Datum_Einde_IKV&lt;=Tabel1353615[[#This Row],[DatEindTv]],Datum_Einde_IKV,"")))</f>
        <v/>
      </c>
      <c r="K14" s="138"/>
      <c r="L14" s="138"/>
      <c r="M14" s="138"/>
      <c r="N14" s="139"/>
      <c r="O14" s="140"/>
      <c r="P14" s="140"/>
      <c r="Q14" s="140"/>
      <c r="R14" s="140"/>
      <c r="S14" s="140"/>
      <c r="T14" s="140"/>
      <c r="U14" s="140"/>
      <c r="V14" s="184" t="str">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Row],[OpnAvwb]],0))))</f>
        <v/>
      </c>
      <c r="W14" s="187" t="str">
        <f>IF(Tabel1353615[[#This Row],[Inkomsten-periode]]="","",IF(OR(Tabel1353615[[#This Row],[Leeftijd]]&lt;18,Tabel1353615[[#This Row],[Leeftijd]]&gt;=68),0,IF(Tabel1353615[[#This Row],[CdRdnEindArbov]]=33,0,IF(AND(OR(Tabel1353615[[#This Row],[SrtIV]]=13,Tabel1353615[[#This Row],[SrtIV]]=15,Tabel1353615[[#This Row],[SrtIV]]=31),OR(Tabel1353615[[#This Row],[CdAard]]=1,Tabel1353615[[#This Row],[CdAard]]=11,Tabel1353615[[#This Row],[CdAard]]=82,Tabel1353615[[#This Row],[CdAard]]=83)),Tabel1353615[[#This Row],[AantVerlU]],0))))</f>
        <v/>
      </c>
      <c r="X14" s="184"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Row],[LnInGld]]+Tabel1353615[[#This Row],[OpgRchtVakBsl]]-Tabel1353615[[#This Row],[VakBsl]]+Tabel1353615[[#This Row],[OpbAvwb]]-Tabel1353615[[#This Row],[OpnAvwb]],"")),"")</f>
        <v/>
      </c>
      <c r="Y14" s="187" t="str">
        <f>IF(Tabel1353615[[#This Row],[Inkomsten-periode]]="",IF(Tabel1353615[[#This Row],[CdRdnEindArbov]]=33,0,IF(AND(OR(Tabel1353615[[#This Row],[SrtIV]]=13,Tabel1353615[[#This Row],[SrtIV]]=15,Tabel1353615[[#This Row],[SrtIV]]=31),OR(Tabel1353615[[#This Row],[CdAard]]=1,Tabel1353615[[#This Row],[CdAard]]=11,Tabel1353615[[#This Row],[CdAard]]=82,Tabel1353615[[#This Row],[CdAard]]=83)),Tabel1353615[[#This Row],[AantVerlU]],"")),"")</f>
        <v/>
      </c>
    </row>
    <row r="15" spans="1:38" ht="16.399999999999999" customHeight="1" thickBot="1" x14ac:dyDescent="0.3">
      <c r="A15" s="249"/>
      <c r="B15" s="250"/>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6.399999999999999" customHeight="1" x14ac:dyDescent="0.35">
      <c r="A16" s="249"/>
      <c r="B16" s="250"/>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249"/>
      <c r="B17" s="250"/>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249"/>
      <c r="B18" s="250"/>
      <c r="C18" s="200"/>
      <c r="D18" s="163">
        <f>D2</f>
        <v>1</v>
      </c>
      <c r="E18" s="150" t="str">
        <f>E2</f>
        <v>januari</v>
      </c>
      <c r="F18" s="151">
        <f>F2</f>
        <v>46388</v>
      </c>
      <c r="G18" s="151">
        <f>G2</f>
        <v>46418</v>
      </c>
      <c r="H18" s="188">
        <f t="shared" ref="H18:H30" si="1">IF(AND(W2="",Y2=""),"",MAX(W2,Y2))</f>
        <v>173</v>
      </c>
      <c r="I18" s="191">
        <f t="shared" ref="I18:I30" si="2">IF(AND(V2="",X2=""),"",MAX(V2,X2))</f>
        <v>4620</v>
      </c>
      <c r="J18" s="188">
        <f>IF($E18="","",IF($E19="",SUM(H18:H$30),H18))</f>
        <v>173</v>
      </c>
      <c r="K18" s="191">
        <f>IF($E18="","",IF($E19="",SUM(I18:I$30),I18))</f>
        <v>4620</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4620</v>
      </c>
      <c r="T18" s="157">
        <f t="shared" ref="T18:T30" si="10">IF(M18="","",J18+IF(AND(D18&lt;&gt;1, T17&lt;&gt;""),T17,0))</f>
        <v>173</v>
      </c>
      <c r="U18" s="157">
        <f t="shared" ref="U18:U30" si="11">IF(M18="","",R18+IF(AND(D18&lt;&gt;1, U17&lt;&gt;""),U17,0))</f>
        <v>173.33333333333334</v>
      </c>
      <c r="V18" s="158">
        <f>IF(M18="",0,T18/U18)</f>
        <v>0.99807692307692297</v>
      </c>
      <c r="W18" s="159">
        <f>IF(M18="","",VLOOKUP($B$6,rekenwaarden!M$8:N$12,2))</f>
        <v>9.1199999999999992</v>
      </c>
      <c r="X18" s="160">
        <f t="shared" ref="X18:X30" si="12">IF(M18="","",W18*J18)</f>
        <v>1577.7599999999998</v>
      </c>
      <c r="Y18" s="160">
        <f t="shared" ref="Y18:Y30" si="13">IF(M18="","",X18+IF(AND(D18&lt;&gt;1, Y17&lt;&gt;""),Y17,0))</f>
        <v>1577.7599999999998</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3042.2400000000002</v>
      </c>
      <c r="AE18" s="160">
        <f t="shared" ref="AE18:AE30" si="17">IF(M18="","",AD18-IF(AND(D18&lt;&gt;1, AD17&lt;&gt;""),AD17,0))</f>
        <v>3042.2400000000002</v>
      </c>
      <c r="AF18" s="160">
        <f>IF(OR($B$8="ONWAAR", M18=""), "", MAX(MIN(S18, AC18*MIN(1, V18))-AA18*MIN(1, V18), 0))</f>
        <v>0</v>
      </c>
      <c r="AG18" s="160">
        <f t="shared" ref="AG18:AG30" si="18">IF(OR(M18="", AF18=""),"",AF18-IF(AND(D18&lt;&gt;1, AF17&lt;&gt;""),AF17,0))</f>
        <v>0</v>
      </c>
      <c r="AH18" s="161">
        <f t="shared" ref="AH18:AH30" ca="1" si="19">IF($M18="", "", AE18*INDIRECT(CONCATENATE("premiepct", YEAR(F18))))</f>
        <v>903.54528000000005</v>
      </c>
      <c r="AI18" s="161">
        <f ca="1">IF(OR($F$4=FALSE, M18=""), "", AG18*INDIRECT(CONCATENATE("premiepct", YEAR($F18))))</f>
        <v>0</v>
      </c>
      <c r="AJ18" s="161"/>
      <c r="AK18" s="161"/>
      <c r="AL18" s="164">
        <f ca="1">IF(M18="","",SUM(AH18:AK18))</f>
        <v>903.54528000000005</v>
      </c>
    </row>
    <row r="19" spans="1:38" s="113" customFormat="1" ht="15.65" customHeight="1" x14ac:dyDescent="0.25">
      <c r="A19" s="249"/>
      <c r="B19" s="250"/>
      <c r="C19" s="200"/>
      <c r="D19" s="163">
        <f t="shared" ref="D19:G30" si="20">D3</f>
        <v>2</v>
      </c>
      <c r="E19" s="150" t="str">
        <f t="shared" si="20"/>
        <v>februari</v>
      </c>
      <c r="F19" s="151">
        <f t="shared" si="20"/>
        <v>46419</v>
      </c>
      <c r="G19" s="151">
        <f t="shared" si="20"/>
        <v>46446</v>
      </c>
      <c r="H19" s="189">
        <f t="shared" si="1"/>
        <v>173</v>
      </c>
      <c r="I19" s="192">
        <f t="shared" si="2"/>
        <v>4620</v>
      </c>
      <c r="J19" s="189">
        <f>IF($E19="","",IF($E20="",SUM(H19:H$30),H19))</f>
        <v>173</v>
      </c>
      <c r="K19" s="192">
        <f>IF($E19="","",IF($E20="",SUM(I19:I$30),I19))</f>
        <v>4620</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9240</v>
      </c>
      <c r="T19" s="157">
        <f t="shared" si="10"/>
        <v>346</v>
      </c>
      <c r="U19" s="157">
        <f t="shared" si="11"/>
        <v>346.66666666666669</v>
      </c>
      <c r="V19" s="158">
        <f t="shared" ref="V19:V30" si="22">IF(M19="","",T19/U19)</f>
        <v>0.99807692307692297</v>
      </c>
      <c r="W19" s="159">
        <f>IF(M19="","",VLOOKUP($B$6,rekenwaarden!M$8:N$12,2))</f>
        <v>9.1199999999999992</v>
      </c>
      <c r="X19" s="160">
        <f t="shared" si="12"/>
        <v>1577.7599999999998</v>
      </c>
      <c r="Y19" s="160">
        <f t="shared" si="13"/>
        <v>3155.5199999999995</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6084.4800000000005</v>
      </c>
      <c r="AE19" s="160">
        <f t="shared" si="17"/>
        <v>3042.2400000000002</v>
      </c>
      <c r="AF19" s="160">
        <f t="shared" ref="AF19:AF30" si="23">IF(OR($B$8="ONWAAR", M19=""), "", MAX(MIN(S19, AC19*MIN(1, V19))-AA19*MIN(1, V19), 0))</f>
        <v>0</v>
      </c>
      <c r="AG19" s="160">
        <f t="shared" si="18"/>
        <v>0</v>
      </c>
      <c r="AH19" s="161">
        <f t="shared" ca="1" si="19"/>
        <v>903.54528000000005</v>
      </c>
      <c r="AI19" s="161">
        <f t="shared" ref="AI19:AI30" ca="1" si="24">IF(OR($F$4=FALSE, M19=""), "", AG19*INDIRECT(CONCATENATE("premiepct", YEAR($F19))))</f>
        <v>0</v>
      </c>
      <c r="AJ19" s="161"/>
      <c r="AK19" s="161"/>
      <c r="AL19" s="164">
        <f t="shared" ref="AL19:AL30" ca="1" si="25">IF(M19="","",SUM(AH19:AK19))</f>
        <v>903.54528000000005</v>
      </c>
    </row>
    <row r="20" spans="1:38" s="113" customFormat="1" ht="15.65" customHeight="1" x14ac:dyDescent="0.25">
      <c r="A20" s="249"/>
      <c r="B20" s="250"/>
      <c r="C20" s="200"/>
      <c r="D20" s="163">
        <f t="shared" si="20"/>
        <v>3</v>
      </c>
      <c r="E20" s="150" t="str">
        <f t="shared" si="20"/>
        <v>maart</v>
      </c>
      <c r="F20" s="151">
        <f t="shared" si="20"/>
        <v>46447</v>
      </c>
      <c r="G20" s="151">
        <f t="shared" si="20"/>
        <v>46477</v>
      </c>
      <c r="H20" s="188">
        <f t="shared" si="1"/>
        <v>173</v>
      </c>
      <c r="I20" s="191">
        <f t="shared" si="2"/>
        <v>4620</v>
      </c>
      <c r="J20" s="188">
        <f>IF($E20="","",IF($E21="",SUM(H20:H$30),H20))</f>
        <v>173</v>
      </c>
      <c r="K20" s="191">
        <f>IF($E20="","",IF($E21="",SUM(I20:I$30),I20))</f>
        <v>4620</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13860</v>
      </c>
      <c r="T20" s="157">
        <f t="shared" si="10"/>
        <v>519</v>
      </c>
      <c r="U20" s="157">
        <f t="shared" si="11"/>
        <v>520</v>
      </c>
      <c r="V20" s="158">
        <f t="shared" si="22"/>
        <v>0.99807692307692308</v>
      </c>
      <c r="W20" s="159">
        <f>IF(M20="","",VLOOKUP($B$6,rekenwaarden!M$8:N$12,2))</f>
        <v>9.1199999999999992</v>
      </c>
      <c r="X20" s="160">
        <f t="shared" si="12"/>
        <v>1577.7599999999998</v>
      </c>
      <c r="Y20" s="160">
        <f t="shared" si="13"/>
        <v>4733.2799999999988</v>
      </c>
      <c r="Z20" s="160">
        <f>IF(M20="","", VLOOKUP(B$6,rekenwaarden!M$8:T$12,3)*Q20)</f>
        <v>6617.4166666666661</v>
      </c>
      <c r="AA20" s="160">
        <f t="shared" si="14"/>
        <v>19852.25</v>
      </c>
      <c r="AB20" s="160">
        <f>IF(M20="","", VLOOKUP($B$6,rekenwaarden!M$8:T$12,4)*Q20)</f>
        <v>11483.333333333332</v>
      </c>
      <c r="AC20" s="160">
        <f t="shared" si="15"/>
        <v>34450</v>
      </c>
      <c r="AD20" s="160">
        <f t="shared" si="16"/>
        <v>9126.7200000000012</v>
      </c>
      <c r="AE20" s="160">
        <f t="shared" si="17"/>
        <v>3042.2400000000007</v>
      </c>
      <c r="AF20" s="160">
        <f t="shared" si="23"/>
        <v>0</v>
      </c>
      <c r="AG20" s="160">
        <f t="shared" si="18"/>
        <v>0</v>
      </c>
      <c r="AH20" s="161">
        <f t="shared" ca="1" si="19"/>
        <v>903.54528000000016</v>
      </c>
      <c r="AI20" s="161">
        <f t="shared" ca="1" si="24"/>
        <v>0</v>
      </c>
      <c r="AJ20" s="161"/>
      <c r="AK20" s="161"/>
      <c r="AL20" s="164">
        <f t="shared" ca="1" si="25"/>
        <v>903.54528000000016</v>
      </c>
    </row>
    <row r="21" spans="1:38" s="113" customFormat="1" ht="15.65" customHeight="1" x14ac:dyDescent="0.25">
      <c r="A21" s="249"/>
      <c r="B21" s="250"/>
      <c r="C21" s="200"/>
      <c r="D21" s="163">
        <f t="shared" si="20"/>
        <v>4</v>
      </c>
      <c r="E21" s="150" t="str">
        <f t="shared" si="20"/>
        <v>april</v>
      </c>
      <c r="F21" s="151">
        <f t="shared" si="20"/>
        <v>46478</v>
      </c>
      <c r="G21" s="151">
        <f t="shared" si="20"/>
        <v>46507</v>
      </c>
      <c r="H21" s="189">
        <f t="shared" si="1"/>
        <v>173</v>
      </c>
      <c r="I21" s="192">
        <f t="shared" si="2"/>
        <v>4620</v>
      </c>
      <c r="J21" s="189">
        <f>IF($E21="","",IF($E22="",SUM(H21:H$30),H21))</f>
        <v>173</v>
      </c>
      <c r="K21" s="192">
        <f>IF($E21="","",IF($E22="",SUM(I21:I$30),I21))</f>
        <v>4620</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18480</v>
      </c>
      <c r="T21" s="157">
        <f t="shared" si="10"/>
        <v>692</v>
      </c>
      <c r="U21" s="157">
        <f t="shared" si="11"/>
        <v>693.33333333333337</v>
      </c>
      <c r="V21" s="158">
        <f t="shared" si="22"/>
        <v>0.99807692307692297</v>
      </c>
      <c r="W21" s="159">
        <f>IF(M21="","",VLOOKUP($B$6,rekenwaarden!M$8:N$12,2))</f>
        <v>9.1199999999999992</v>
      </c>
      <c r="X21" s="160">
        <f t="shared" si="12"/>
        <v>1577.7599999999998</v>
      </c>
      <c r="Y21" s="160">
        <f t="shared" si="13"/>
        <v>6311.0399999999991</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12168.960000000001</v>
      </c>
      <c r="AE21" s="160">
        <f t="shared" si="17"/>
        <v>3042.24</v>
      </c>
      <c r="AF21" s="160">
        <f t="shared" si="23"/>
        <v>0</v>
      </c>
      <c r="AG21" s="160">
        <f t="shared" si="18"/>
        <v>0</v>
      </c>
      <c r="AH21" s="161">
        <f t="shared" ca="1" si="19"/>
        <v>903.54527999999993</v>
      </c>
      <c r="AI21" s="161">
        <f t="shared" ca="1" si="24"/>
        <v>0</v>
      </c>
      <c r="AJ21" s="161"/>
      <c r="AK21" s="161"/>
      <c r="AL21" s="164">
        <f t="shared" ca="1" si="25"/>
        <v>903.54527999999993</v>
      </c>
    </row>
    <row r="22" spans="1:38" s="113" customFormat="1" ht="15.65" customHeight="1" x14ac:dyDescent="0.25">
      <c r="A22" s="249"/>
      <c r="B22" s="250"/>
      <c r="C22" s="200"/>
      <c r="D22" s="163">
        <f t="shared" si="20"/>
        <v>5</v>
      </c>
      <c r="E22" s="150" t="str">
        <f t="shared" si="20"/>
        <v>mei</v>
      </c>
      <c r="F22" s="151">
        <f t="shared" si="20"/>
        <v>46508</v>
      </c>
      <c r="G22" s="151">
        <f t="shared" si="20"/>
        <v>46538</v>
      </c>
      <c r="H22" s="188">
        <f t="shared" si="1"/>
        <v>173</v>
      </c>
      <c r="I22" s="191">
        <f t="shared" si="2"/>
        <v>4620</v>
      </c>
      <c r="J22" s="188">
        <f>IF($E22="","",IF($E23="",SUM(H22:H$30),H22))</f>
        <v>173</v>
      </c>
      <c r="K22" s="191">
        <f>IF($E22="","",IF($E23="",SUM(I22:I$30),I22))</f>
        <v>4620</v>
      </c>
      <c r="L22" s="152">
        <f t="shared" si="3"/>
        <v>40</v>
      </c>
      <c r="M22" s="151">
        <f t="shared" si="4"/>
        <v>46508</v>
      </c>
      <c r="N22" s="151">
        <f t="shared" si="5"/>
        <v>46538</v>
      </c>
      <c r="O22" s="150">
        <f t="shared" si="21"/>
        <v>31</v>
      </c>
      <c r="P22" s="153">
        <f t="shared" si="6"/>
        <v>1</v>
      </c>
      <c r="Q22" s="154">
        <f t="shared" si="7"/>
        <v>8.3333333333333329E-2</v>
      </c>
      <c r="R22" s="155">
        <f t="shared" si="8"/>
        <v>173.33333333333334</v>
      </c>
      <c r="S22" s="156">
        <f t="shared" si="9"/>
        <v>23100</v>
      </c>
      <c r="T22" s="157">
        <f t="shared" si="10"/>
        <v>865</v>
      </c>
      <c r="U22" s="157">
        <f t="shared" si="11"/>
        <v>866.66666666666674</v>
      </c>
      <c r="V22" s="158">
        <f t="shared" si="22"/>
        <v>0.99807692307692297</v>
      </c>
      <c r="W22" s="159">
        <f>IF(M22="","",VLOOKUP($B$6,rekenwaarden!M$8:N$12,2))</f>
        <v>9.1199999999999992</v>
      </c>
      <c r="X22" s="160">
        <f t="shared" si="12"/>
        <v>1577.7599999999998</v>
      </c>
      <c r="Y22" s="160">
        <f t="shared" si="13"/>
        <v>7888.7999999999993</v>
      </c>
      <c r="Z22" s="160">
        <f>IF(M22="","", VLOOKUP(B$6,rekenwaarden!M$8:T$12,3)*Q22)</f>
        <v>6617.4166666666661</v>
      </c>
      <c r="AA22" s="160">
        <f t="shared" si="14"/>
        <v>33087.083333333328</v>
      </c>
      <c r="AB22" s="160">
        <f>IF(M22="","", VLOOKUP($B$6,rekenwaarden!M$8:T$12,4)*Q22)</f>
        <v>11483.333333333332</v>
      </c>
      <c r="AC22" s="160">
        <f t="shared" si="15"/>
        <v>57416.666666666657</v>
      </c>
      <c r="AD22" s="160">
        <f t="shared" si="16"/>
        <v>15211.2</v>
      </c>
      <c r="AE22" s="160">
        <f t="shared" si="17"/>
        <v>3042.24</v>
      </c>
      <c r="AF22" s="160">
        <f t="shared" si="23"/>
        <v>0</v>
      </c>
      <c r="AG22" s="160">
        <f t="shared" si="18"/>
        <v>0</v>
      </c>
      <c r="AH22" s="161">
        <f t="shared" ca="1" si="19"/>
        <v>903.54527999999993</v>
      </c>
      <c r="AI22" s="161">
        <f t="shared" ca="1" si="24"/>
        <v>0</v>
      </c>
      <c r="AJ22" s="161"/>
      <c r="AK22" s="161"/>
      <c r="AL22" s="164">
        <f t="shared" ca="1" si="25"/>
        <v>903.54527999999993</v>
      </c>
    </row>
    <row r="23" spans="1:38" s="113" customFormat="1" ht="15.65" customHeight="1" x14ac:dyDescent="0.25">
      <c r="A23" s="249"/>
      <c r="B23" s="250"/>
      <c r="C23" s="200"/>
      <c r="D23" s="163">
        <f t="shared" si="20"/>
        <v>6</v>
      </c>
      <c r="E23" s="150" t="str">
        <f t="shared" si="20"/>
        <v>juni</v>
      </c>
      <c r="F23" s="151">
        <f t="shared" si="20"/>
        <v>46539</v>
      </c>
      <c r="G23" s="151">
        <f t="shared" si="20"/>
        <v>46568</v>
      </c>
      <c r="H23" s="189">
        <f t="shared" si="1"/>
        <v>173</v>
      </c>
      <c r="I23" s="192">
        <f t="shared" si="2"/>
        <v>4620</v>
      </c>
      <c r="J23" s="189">
        <f>IF($E23="","",IF($E24="",SUM(H23:H$30),H23))</f>
        <v>173</v>
      </c>
      <c r="K23" s="192">
        <f>IF($E23="","",IF($E24="",SUM(I23:I$30),I23))</f>
        <v>4620</v>
      </c>
      <c r="L23" s="152">
        <f t="shared" si="3"/>
        <v>40</v>
      </c>
      <c r="M23" s="151">
        <f t="shared" si="4"/>
        <v>46539</v>
      </c>
      <c r="N23" s="151">
        <f t="shared" si="5"/>
        <v>46568</v>
      </c>
      <c r="O23" s="150">
        <f t="shared" si="21"/>
        <v>30</v>
      </c>
      <c r="P23" s="153">
        <f t="shared" si="6"/>
        <v>1</v>
      </c>
      <c r="Q23" s="154">
        <f t="shared" si="7"/>
        <v>8.3333333333333329E-2</v>
      </c>
      <c r="R23" s="155">
        <f t="shared" si="8"/>
        <v>173.33333333333334</v>
      </c>
      <c r="S23" s="156">
        <f t="shared" si="9"/>
        <v>27720</v>
      </c>
      <c r="T23" s="157">
        <f t="shared" si="10"/>
        <v>1038</v>
      </c>
      <c r="U23" s="157">
        <f t="shared" si="11"/>
        <v>1040</v>
      </c>
      <c r="V23" s="158">
        <f t="shared" si="22"/>
        <v>0.99807692307692308</v>
      </c>
      <c r="W23" s="159">
        <f>IF(M23="","",VLOOKUP($B$6,rekenwaarden!M$8:N$12,2))</f>
        <v>9.1199999999999992</v>
      </c>
      <c r="X23" s="160">
        <f t="shared" si="12"/>
        <v>1577.7599999999998</v>
      </c>
      <c r="Y23" s="160">
        <f t="shared" si="13"/>
        <v>9466.56</v>
      </c>
      <c r="Z23" s="160">
        <f>IF(M23="","", VLOOKUP(B$6,rekenwaarden!M$8:T$12,3)*Q23)</f>
        <v>6617.4166666666661</v>
      </c>
      <c r="AA23" s="160">
        <f t="shared" si="14"/>
        <v>39704.499999999993</v>
      </c>
      <c r="AB23" s="160">
        <f>IF(M23="","", VLOOKUP($B$6,rekenwaarden!M$8:T$12,4)*Q23)</f>
        <v>11483.333333333332</v>
      </c>
      <c r="AC23" s="160">
        <f t="shared" si="15"/>
        <v>68899.999999999985</v>
      </c>
      <c r="AD23" s="160">
        <f t="shared" si="16"/>
        <v>18253.440000000002</v>
      </c>
      <c r="AE23" s="160">
        <f t="shared" si="17"/>
        <v>3042.2400000000016</v>
      </c>
      <c r="AF23" s="160">
        <f t="shared" si="23"/>
        <v>0</v>
      </c>
      <c r="AG23" s="160">
        <f t="shared" si="18"/>
        <v>0</v>
      </c>
      <c r="AH23" s="161">
        <f t="shared" ca="1" si="19"/>
        <v>903.54528000000039</v>
      </c>
      <c r="AI23" s="161">
        <f t="shared" ca="1" si="24"/>
        <v>0</v>
      </c>
      <c r="AJ23" s="161"/>
      <c r="AK23" s="161"/>
      <c r="AL23" s="164">
        <f t="shared" ca="1" si="25"/>
        <v>903.54528000000039</v>
      </c>
    </row>
    <row r="24" spans="1:38" s="113" customFormat="1" ht="15.65" customHeight="1" x14ac:dyDescent="0.25">
      <c r="A24" s="249"/>
      <c r="B24" s="250"/>
      <c r="C24" s="200"/>
      <c r="D24" s="163">
        <f t="shared" si="20"/>
        <v>7</v>
      </c>
      <c r="E24" s="150" t="str">
        <f t="shared" si="20"/>
        <v>juli</v>
      </c>
      <c r="F24" s="151">
        <f t="shared" si="20"/>
        <v>46569</v>
      </c>
      <c r="G24" s="151">
        <f t="shared" si="20"/>
        <v>46599</v>
      </c>
      <c r="H24" s="188">
        <f t="shared" si="1"/>
        <v>173</v>
      </c>
      <c r="I24" s="191">
        <f t="shared" si="2"/>
        <v>4620</v>
      </c>
      <c r="J24" s="188">
        <f>IF($E24="","",IF($E25="",SUM(H24:H$30),H24))</f>
        <v>173</v>
      </c>
      <c r="K24" s="191">
        <f>IF($E24="","",IF($E25="",SUM(I24:I$30),I24))</f>
        <v>4620</v>
      </c>
      <c r="L24" s="152">
        <f t="shared" si="3"/>
        <v>40</v>
      </c>
      <c r="M24" s="151">
        <f t="shared" si="4"/>
        <v>46569</v>
      </c>
      <c r="N24" s="151">
        <f t="shared" si="5"/>
        <v>46599</v>
      </c>
      <c r="O24" s="150">
        <f t="shared" si="21"/>
        <v>31</v>
      </c>
      <c r="P24" s="153">
        <f t="shared" si="6"/>
        <v>1</v>
      </c>
      <c r="Q24" s="154">
        <f t="shared" si="7"/>
        <v>8.3333333333333329E-2</v>
      </c>
      <c r="R24" s="155">
        <f t="shared" si="8"/>
        <v>173.33333333333334</v>
      </c>
      <c r="S24" s="156">
        <f t="shared" si="9"/>
        <v>32340</v>
      </c>
      <c r="T24" s="157">
        <f t="shared" si="10"/>
        <v>1211</v>
      </c>
      <c r="U24" s="157">
        <f t="shared" si="11"/>
        <v>1213.3333333333333</v>
      </c>
      <c r="V24" s="158">
        <f t="shared" si="22"/>
        <v>0.99807692307692319</v>
      </c>
      <c r="W24" s="159">
        <f>IF(M24="","",VLOOKUP($B$6,rekenwaarden!M$8:N$12,2))</f>
        <v>9.1199999999999992</v>
      </c>
      <c r="X24" s="160">
        <f t="shared" si="12"/>
        <v>1577.7599999999998</v>
      </c>
      <c r="Y24" s="160">
        <f t="shared" si="13"/>
        <v>11044.32</v>
      </c>
      <c r="Z24" s="160">
        <f>IF(M24="","", VLOOKUP(B$6,rekenwaarden!M$8:T$12,3)*Q24)</f>
        <v>6617.4166666666661</v>
      </c>
      <c r="AA24" s="160">
        <f t="shared" si="14"/>
        <v>46321.916666666657</v>
      </c>
      <c r="AB24" s="160">
        <f>IF(M24="","", VLOOKUP($B$6,rekenwaarden!M$8:T$12,4)*Q24)</f>
        <v>11483.333333333332</v>
      </c>
      <c r="AC24" s="160">
        <f t="shared" si="15"/>
        <v>80383.333333333314</v>
      </c>
      <c r="AD24" s="160">
        <f t="shared" si="16"/>
        <v>21295.68</v>
      </c>
      <c r="AE24" s="160">
        <f t="shared" si="17"/>
        <v>3042.239999999998</v>
      </c>
      <c r="AF24" s="160">
        <f t="shared" si="23"/>
        <v>0</v>
      </c>
      <c r="AG24" s="160">
        <f t="shared" si="18"/>
        <v>0</v>
      </c>
      <c r="AH24" s="161">
        <f t="shared" ca="1" si="19"/>
        <v>903.54527999999937</v>
      </c>
      <c r="AI24" s="161">
        <f t="shared" ca="1" si="24"/>
        <v>0</v>
      </c>
      <c r="AJ24" s="161"/>
      <c r="AK24" s="161"/>
      <c r="AL24" s="164">
        <f t="shared" ca="1" si="25"/>
        <v>903.54527999999937</v>
      </c>
    </row>
    <row r="25" spans="1:38" s="113" customFormat="1" ht="15.65" customHeight="1" x14ac:dyDescent="0.25">
      <c r="A25" s="249"/>
      <c r="B25" s="250"/>
      <c r="C25" s="200"/>
      <c r="D25" s="163">
        <f t="shared" si="20"/>
        <v>8</v>
      </c>
      <c r="E25" s="150" t="str">
        <f t="shared" si="20"/>
        <v>augustus</v>
      </c>
      <c r="F25" s="151">
        <f t="shared" si="20"/>
        <v>46600</v>
      </c>
      <c r="G25" s="151">
        <f t="shared" si="20"/>
        <v>46630</v>
      </c>
      <c r="H25" s="189">
        <f t="shared" si="1"/>
        <v>173</v>
      </c>
      <c r="I25" s="192">
        <f t="shared" si="2"/>
        <v>4655</v>
      </c>
      <c r="J25" s="189">
        <f>IF($E25="","",IF($E26="",SUM(H25:H$30),H25))</f>
        <v>173</v>
      </c>
      <c r="K25" s="192">
        <f>IF($E25="","",IF($E26="",SUM(I25:I$30),I25))</f>
        <v>4655</v>
      </c>
      <c r="L25" s="152">
        <f t="shared" si="3"/>
        <v>40</v>
      </c>
      <c r="M25" s="151">
        <f t="shared" si="4"/>
        <v>46600</v>
      </c>
      <c r="N25" s="151">
        <f t="shared" si="5"/>
        <v>46630</v>
      </c>
      <c r="O25" s="150">
        <f t="shared" si="21"/>
        <v>31</v>
      </c>
      <c r="P25" s="153">
        <f t="shared" si="6"/>
        <v>1</v>
      </c>
      <c r="Q25" s="154">
        <f t="shared" si="7"/>
        <v>8.3333333333333329E-2</v>
      </c>
      <c r="R25" s="155">
        <f t="shared" si="8"/>
        <v>173.33333333333334</v>
      </c>
      <c r="S25" s="156">
        <f t="shared" si="9"/>
        <v>36995</v>
      </c>
      <c r="T25" s="157">
        <f t="shared" si="10"/>
        <v>1384</v>
      </c>
      <c r="U25" s="157">
        <f t="shared" si="11"/>
        <v>1386.6666666666665</v>
      </c>
      <c r="V25" s="158">
        <f t="shared" si="22"/>
        <v>0.99807692307692319</v>
      </c>
      <c r="W25" s="159">
        <f>IF(M25="","",VLOOKUP($B$6,rekenwaarden!M$8:N$12,2))</f>
        <v>9.1199999999999992</v>
      </c>
      <c r="X25" s="160">
        <f t="shared" si="12"/>
        <v>1577.7599999999998</v>
      </c>
      <c r="Y25" s="160">
        <f t="shared" si="13"/>
        <v>12622.08</v>
      </c>
      <c r="Z25" s="160">
        <f>IF(M25="","", VLOOKUP(B$6,rekenwaarden!M$8:T$12,3)*Q25)</f>
        <v>6617.4166666666661</v>
      </c>
      <c r="AA25" s="160">
        <f t="shared" si="14"/>
        <v>52939.333333333321</v>
      </c>
      <c r="AB25" s="160">
        <f>IF(M25="","", VLOOKUP($B$6,rekenwaarden!M$8:T$12,4)*Q25)</f>
        <v>11483.333333333332</v>
      </c>
      <c r="AC25" s="160">
        <f t="shared" si="15"/>
        <v>91866.666666666642</v>
      </c>
      <c r="AD25" s="160">
        <f t="shared" si="16"/>
        <v>24372.92</v>
      </c>
      <c r="AE25" s="160">
        <f t="shared" si="17"/>
        <v>3077.239999999998</v>
      </c>
      <c r="AF25" s="160">
        <f t="shared" si="23"/>
        <v>0</v>
      </c>
      <c r="AG25" s="160">
        <f t="shared" si="18"/>
        <v>0</v>
      </c>
      <c r="AH25" s="161">
        <f t="shared" ca="1" si="19"/>
        <v>913.94027999999935</v>
      </c>
      <c r="AI25" s="161">
        <f t="shared" ca="1" si="24"/>
        <v>0</v>
      </c>
      <c r="AJ25" s="161"/>
      <c r="AK25" s="161"/>
      <c r="AL25" s="164">
        <f t="shared" ca="1" si="25"/>
        <v>913.94027999999935</v>
      </c>
    </row>
    <row r="26" spans="1:38" s="113" customFormat="1" ht="15.65" customHeight="1" x14ac:dyDescent="0.25">
      <c r="A26" s="125"/>
      <c r="B26" s="126"/>
      <c r="C26" s="200"/>
      <c r="D26" s="163">
        <f t="shared" si="20"/>
        <v>9</v>
      </c>
      <c r="E26" s="150" t="str">
        <f t="shared" si="20"/>
        <v>september</v>
      </c>
      <c r="F26" s="151">
        <f t="shared" si="20"/>
        <v>46631</v>
      </c>
      <c r="G26" s="151">
        <f t="shared" si="20"/>
        <v>46660</v>
      </c>
      <c r="H26" s="188">
        <f t="shared" si="1"/>
        <v>173</v>
      </c>
      <c r="I26" s="191">
        <f t="shared" si="2"/>
        <v>4655</v>
      </c>
      <c r="J26" s="188">
        <f>IF($E26="","",IF($E27="",SUM(H26:H$30),H26))</f>
        <v>173</v>
      </c>
      <c r="K26" s="191">
        <f>IF($E26="","",IF($E27="",SUM(I26:I$30),I26))</f>
        <v>4655</v>
      </c>
      <c r="L26" s="152">
        <f t="shared" si="3"/>
        <v>40</v>
      </c>
      <c r="M26" s="151">
        <f t="shared" si="4"/>
        <v>46631</v>
      </c>
      <c r="N26" s="151">
        <f t="shared" si="5"/>
        <v>46660</v>
      </c>
      <c r="O26" s="150">
        <f t="shared" si="21"/>
        <v>30</v>
      </c>
      <c r="P26" s="153">
        <f t="shared" si="6"/>
        <v>1</v>
      </c>
      <c r="Q26" s="154">
        <f t="shared" si="7"/>
        <v>8.3333333333333329E-2</v>
      </c>
      <c r="R26" s="155">
        <f t="shared" si="8"/>
        <v>173.33333333333334</v>
      </c>
      <c r="S26" s="156">
        <f t="shared" si="9"/>
        <v>41650</v>
      </c>
      <c r="T26" s="157">
        <f t="shared" si="10"/>
        <v>1557</v>
      </c>
      <c r="U26" s="157">
        <f t="shared" si="11"/>
        <v>1559.9999999999998</v>
      </c>
      <c r="V26" s="158">
        <f t="shared" si="22"/>
        <v>0.99807692307692319</v>
      </c>
      <c r="W26" s="159">
        <f>IF(M26="","",VLOOKUP($B$6,rekenwaarden!M$8:N$12,2))</f>
        <v>9.1199999999999992</v>
      </c>
      <c r="X26" s="160">
        <f t="shared" si="12"/>
        <v>1577.7599999999998</v>
      </c>
      <c r="Y26" s="160">
        <f t="shared" si="13"/>
        <v>14199.84</v>
      </c>
      <c r="Z26" s="160">
        <f>IF(M26="","", VLOOKUP(B$6,rekenwaarden!M$8:T$12,3)*Q26)</f>
        <v>6617.4166666666661</v>
      </c>
      <c r="AA26" s="160">
        <f t="shared" si="14"/>
        <v>59556.749999999985</v>
      </c>
      <c r="AB26" s="160">
        <f>IF(M26="","", VLOOKUP($B$6,rekenwaarden!M$8:T$12,4)*Q26)</f>
        <v>11483.333333333332</v>
      </c>
      <c r="AC26" s="160">
        <f t="shared" si="15"/>
        <v>103349.99999999997</v>
      </c>
      <c r="AD26" s="160">
        <f t="shared" si="16"/>
        <v>27450.16</v>
      </c>
      <c r="AE26" s="160">
        <f t="shared" si="17"/>
        <v>3077.2400000000016</v>
      </c>
      <c r="AF26" s="160">
        <f t="shared" si="23"/>
        <v>0</v>
      </c>
      <c r="AG26" s="160">
        <f t="shared" si="18"/>
        <v>0</v>
      </c>
      <c r="AH26" s="161">
        <f t="shared" ca="1" si="19"/>
        <v>913.94028000000048</v>
      </c>
      <c r="AI26" s="161">
        <f t="shared" ca="1" si="24"/>
        <v>0</v>
      </c>
      <c r="AJ26" s="161"/>
      <c r="AK26" s="161"/>
      <c r="AL26" s="164">
        <f t="shared" ca="1" si="25"/>
        <v>913.94028000000048</v>
      </c>
    </row>
    <row r="27" spans="1:38" s="113" customFormat="1" ht="15.65" customHeight="1" x14ac:dyDescent="0.25">
      <c r="A27" s="125"/>
      <c r="B27" s="126"/>
      <c r="C27" s="200"/>
      <c r="D27" s="163">
        <f t="shared" si="20"/>
        <v>10</v>
      </c>
      <c r="E27" s="150" t="str">
        <f t="shared" si="20"/>
        <v>oktober</v>
      </c>
      <c r="F27" s="151">
        <f t="shared" si="20"/>
        <v>46661</v>
      </c>
      <c r="G27" s="151">
        <f t="shared" si="20"/>
        <v>46691</v>
      </c>
      <c r="H27" s="189">
        <f t="shared" si="1"/>
        <v>173</v>
      </c>
      <c r="I27" s="192">
        <f t="shared" si="2"/>
        <v>4655</v>
      </c>
      <c r="J27" s="189">
        <f>IF($E27="","",IF($E28="",SUM(H27:H$30),H27))</f>
        <v>173</v>
      </c>
      <c r="K27" s="192">
        <f>IF($E27="","",IF($E28="",SUM(I27:I$30),I27))</f>
        <v>4655</v>
      </c>
      <c r="L27" s="152">
        <f t="shared" si="3"/>
        <v>40</v>
      </c>
      <c r="M27" s="151">
        <f t="shared" si="4"/>
        <v>46661</v>
      </c>
      <c r="N27" s="151">
        <f t="shared" si="5"/>
        <v>46691</v>
      </c>
      <c r="O27" s="150">
        <f t="shared" si="21"/>
        <v>31</v>
      </c>
      <c r="P27" s="153">
        <f t="shared" si="6"/>
        <v>1</v>
      </c>
      <c r="Q27" s="154">
        <f t="shared" si="7"/>
        <v>8.3333333333333329E-2</v>
      </c>
      <c r="R27" s="155">
        <f t="shared" si="8"/>
        <v>173.33333333333334</v>
      </c>
      <c r="S27" s="156">
        <f t="shared" si="9"/>
        <v>46305</v>
      </c>
      <c r="T27" s="157">
        <f t="shared" si="10"/>
        <v>1730</v>
      </c>
      <c r="U27" s="157">
        <f t="shared" si="11"/>
        <v>1733.333333333333</v>
      </c>
      <c r="V27" s="158">
        <f t="shared" si="22"/>
        <v>0.99807692307692331</v>
      </c>
      <c r="W27" s="159">
        <f>IF(M27="","",VLOOKUP($B$6,rekenwaarden!M$8:N$12,2))</f>
        <v>9.1199999999999992</v>
      </c>
      <c r="X27" s="160">
        <f t="shared" si="12"/>
        <v>1577.7599999999998</v>
      </c>
      <c r="Y27" s="160">
        <f t="shared" si="13"/>
        <v>15777.6</v>
      </c>
      <c r="Z27" s="160">
        <f>IF(M27="","", VLOOKUP(B$6,rekenwaarden!M$8:T$12,3)*Q27)</f>
        <v>6617.4166666666661</v>
      </c>
      <c r="AA27" s="160">
        <f t="shared" si="14"/>
        <v>66174.166666666657</v>
      </c>
      <c r="AB27" s="160">
        <f>IF(M27="","", VLOOKUP($B$6,rekenwaarden!M$8:T$12,4)*Q27)</f>
        <v>11483.333333333332</v>
      </c>
      <c r="AC27" s="160">
        <f t="shared" si="15"/>
        <v>114833.3333333333</v>
      </c>
      <c r="AD27" s="160">
        <f t="shared" si="16"/>
        <v>30527.4</v>
      </c>
      <c r="AE27" s="160">
        <f t="shared" si="17"/>
        <v>3077.2400000000016</v>
      </c>
      <c r="AF27" s="160">
        <f t="shared" si="23"/>
        <v>0</v>
      </c>
      <c r="AG27" s="160">
        <f t="shared" si="18"/>
        <v>0</v>
      </c>
      <c r="AH27" s="161">
        <f t="shared" ca="1" si="19"/>
        <v>913.94028000000048</v>
      </c>
      <c r="AI27" s="161">
        <f t="shared" ca="1" si="24"/>
        <v>0</v>
      </c>
      <c r="AJ27" s="161"/>
      <c r="AK27" s="161"/>
      <c r="AL27" s="164">
        <f t="shared" ca="1" si="25"/>
        <v>913.94028000000048</v>
      </c>
    </row>
    <row r="28" spans="1:38" s="113" customFormat="1" ht="15.65" customHeight="1" x14ac:dyDescent="0.25">
      <c r="A28" s="125"/>
      <c r="B28" s="126"/>
      <c r="C28" s="200"/>
      <c r="D28" s="163">
        <f t="shared" si="20"/>
        <v>11</v>
      </c>
      <c r="E28" s="150" t="str">
        <f t="shared" si="20"/>
        <v>november</v>
      </c>
      <c r="F28" s="151">
        <f t="shared" si="20"/>
        <v>46692</v>
      </c>
      <c r="G28" s="151">
        <f t="shared" si="20"/>
        <v>46721</v>
      </c>
      <c r="H28" s="188">
        <f t="shared" si="1"/>
        <v>173</v>
      </c>
      <c r="I28" s="191">
        <f t="shared" si="2"/>
        <v>4655</v>
      </c>
      <c r="J28" s="188">
        <f>IF($E28="","",IF($E29="",SUM(H28:H$30),H28))</f>
        <v>173</v>
      </c>
      <c r="K28" s="191">
        <f>IF($E28="","",IF($E29="",SUM(I28:I$30),I28))</f>
        <v>4655</v>
      </c>
      <c r="L28" s="152">
        <f t="shared" si="3"/>
        <v>40</v>
      </c>
      <c r="M28" s="151">
        <f t="shared" si="4"/>
        <v>46692</v>
      </c>
      <c r="N28" s="151">
        <f t="shared" si="5"/>
        <v>46721</v>
      </c>
      <c r="O28" s="150">
        <f t="shared" si="21"/>
        <v>30</v>
      </c>
      <c r="P28" s="153">
        <f t="shared" si="6"/>
        <v>1</v>
      </c>
      <c r="Q28" s="154">
        <f t="shared" si="7"/>
        <v>8.3333333333333329E-2</v>
      </c>
      <c r="R28" s="155">
        <f t="shared" si="8"/>
        <v>173.33333333333334</v>
      </c>
      <c r="S28" s="156">
        <f t="shared" si="9"/>
        <v>50960</v>
      </c>
      <c r="T28" s="157">
        <f t="shared" si="10"/>
        <v>1903</v>
      </c>
      <c r="U28" s="157">
        <f t="shared" si="11"/>
        <v>1906.6666666666663</v>
      </c>
      <c r="V28" s="158">
        <f t="shared" si="22"/>
        <v>0.99807692307692331</v>
      </c>
      <c r="W28" s="159">
        <f>IF(M28="","",VLOOKUP($B$6,rekenwaarden!M$8:N$12,2))</f>
        <v>9.1199999999999992</v>
      </c>
      <c r="X28" s="160">
        <f t="shared" si="12"/>
        <v>1577.7599999999998</v>
      </c>
      <c r="Y28" s="160">
        <f t="shared" si="13"/>
        <v>17355.36</v>
      </c>
      <c r="Z28" s="160">
        <f>IF(M28="","", VLOOKUP(B$6,rekenwaarden!M$8:T$12,3)*Q28)</f>
        <v>6617.4166666666661</v>
      </c>
      <c r="AA28" s="160">
        <f t="shared" si="14"/>
        <v>72791.583333333328</v>
      </c>
      <c r="AB28" s="160">
        <f>IF(M28="","", VLOOKUP($B$6,rekenwaarden!M$8:T$12,4)*Q28)</f>
        <v>11483.333333333332</v>
      </c>
      <c r="AC28" s="160">
        <f t="shared" si="15"/>
        <v>126316.66666666663</v>
      </c>
      <c r="AD28" s="160">
        <f t="shared" si="16"/>
        <v>33604.639999999999</v>
      </c>
      <c r="AE28" s="160">
        <f t="shared" si="17"/>
        <v>3077.239999999998</v>
      </c>
      <c r="AF28" s="160">
        <f t="shared" si="23"/>
        <v>0</v>
      </c>
      <c r="AG28" s="160">
        <f t="shared" si="18"/>
        <v>0</v>
      </c>
      <c r="AH28" s="161">
        <f t="shared" ca="1" si="19"/>
        <v>913.94027999999935</v>
      </c>
      <c r="AI28" s="161">
        <f t="shared" ca="1" si="24"/>
        <v>0</v>
      </c>
      <c r="AJ28" s="161"/>
      <c r="AK28" s="161"/>
      <c r="AL28" s="164">
        <f t="shared" ca="1" si="25"/>
        <v>913.94027999999935</v>
      </c>
    </row>
    <row r="29" spans="1:38" s="113" customFormat="1" ht="15.65" customHeight="1" x14ac:dyDescent="0.25">
      <c r="A29" s="125"/>
      <c r="B29" s="126"/>
      <c r="C29" s="200"/>
      <c r="D29" s="163">
        <f t="shared" si="20"/>
        <v>12</v>
      </c>
      <c r="E29" s="150" t="str">
        <f t="shared" si="20"/>
        <v>december</v>
      </c>
      <c r="F29" s="151">
        <f t="shared" si="20"/>
        <v>46722</v>
      </c>
      <c r="G29" s="151">
        <f t="shared" si="20"/>
        <v>46752</v>
      </c>
      <c r="H29" s="189">
        <f t="shared" si="1"/>
        <v>173</v>
      </c>
      <c r="I29" s="192">
        <f t="shared" si="2"/>
        <v>4655</v>
      </c>
      <c r="J29" s="189">
        <f>IF($E29="","",IF($E30="",SUM(H29:H$30),H29))</f>
        <v>173</v>
      </c>
      <c r="K29" s="192">
        <f>IF($E29="","",IF($E30="",SUM(I29:I$30),I29))</f>
        <v>4655</v>
      </c>
      <c r="L29" s="152">
        <f t="shared" si="3"/>
        <v>40</v>
      </c>
      <c r="M29" s="151">
        <f t="shared" si="4"/>
        <v>46722</v>
      </c>
      <c r="N29" s="151">
        <f t="shared" si="5"/>
        <v>46752</v>
      </c>
      <c r="O29" s="150">
        <f t="shared" si="21"/>
        <v>31</v>
      </c>
      <c r="P29" s="153">
        <f t="shared" si="6"/>
        <v>1</v>
      </c>
      <c r="Q29" s="154">
        <f t="shared" si="7"/>
        <v>8.3333333333333329E-2</v>
      </c>
      <c r="R29" s="155">
        <f t="shared" si="8"/>
        <v>173.33333333333334</v>
      </c>
      <c r="S29" s="156">
        <f t="shared" si="9"/>
        <v>55615</v>
      </c>
      <c r="T29" s="157">
        <f t="shared" si="10"/>
        <v>2076</v>
      </c>
      <c r="U29" s="157">
        <f t="shared" si="11"/>
        <v>2079.9999999999995</v>
      </c>
      <c r="V29" s="158">
        <f t="shared" si="22"/>
        <v>0.99807692307692331</v>
      </c>
      <c r="W29" s="159">
        <f>IF(M29="","",VLOOKUP($B$6,rekenwaarden!M$8:N$12,2))</f>
        <v>9.1199999999999992</v>
      </c>
      <c r="X29" s="160">
        <f t="shared" si="12"/>
        <v>1577.7599999999998</v>
      </c>
      <c r="Y29" s="160">
        <f t="shared" si="13"/>
        <v>18933.12</v>
      </c>
      <c r="Z29" s="160">
        <f>IF(M29="","", VLOOKUP(B$6,rekenwaarden!M$8:T$12,3)*Q29)</f>
        <v>6617.4166666666661</v>
      </c>
      <c r="AA29" s="160">
        <f t="shared" si="14"/>
        <v>79409</v>
      </c>
      <c r="AB29" s="160">
        <f>IF(M29="","", VLOOKUP($B$6,rekenwaarden!M$8:T$12,4)*Q29)</f>
        <v>11483.333333333332</v>
      </c>
      <c r="AC29" s="160">
        <f t="shared" si="15"/>
        <v>137799.99999999997</v>
      </c>
      <c r="AD29" s="160">
        <f t="shared" si="16"/>
        <v>36681.880000000005</v>
      </c>
      <c r="AE29" s="160">
        <f t="shared" si="17"/>
        <v>3077.2400000000052</v>
      </c>
      <c r="AF29" s="160">
        <f t="shared" si="23"/>
        <v>0</v>
      </c>
      <c r="AG29" s="160">
        <f t="shared" si="18"/>
        <v>0</v>
      </c>
      <c r="AH29" s="161">
        <f t="shared" ca="1" si="19"/>
        <v>913.94028000000151</v>
      </c>
      <c r="AI29" s="161">
        <f t="shared" ca="1" si="24"/>
        <v>0</v>
      </c>
      <c r="AJ29" s="161"/>
      <c r="AK29" s="161"/>
      <c r="AL29" s="164">
        <f t="shared" ca="1" si="25"/>
        <v>913.94028000000151</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sheetData>
  <sheetProtection algorithmName="SHA-512" hashValue="S3d9lmd1pwHI0deQcX5JAejimWUZhGbE1+WIIEMTPMPha9FeW6muea9Acuf9getoTY0/tOk9sYd4xqd8NANLPw==" saltValue="39R9I4dnZ+IvETBKqxuJrw==" spinCount="100000" sheet="1" objects="1" scenarios="1"/>
  <protectedRanges>
    <protectedRange sqref="K2:U14" name="Loonaangiftebericht"/>
    <protectedRange sqref="B1:B9" name="Persoon en IKV"/>
  </protectedRanges>
  <mergeCells count="3">
    <mergeCell ref="A11:B11"/>
    <mergeCell ref="A12:B25"/>
    <mergeCell ref="D17:E17"/>
  </mergeCells>
  <dataValidations count="8">
    <dataValidation type="list" allowBlank="1" showInputMessage="1" showErrorMessage="1" sqref="B2" xr:uid="{EF7FB0E0-69AD-4ED5-A30D-F2EFAD3F1A34}">
      <formula1>"Maandelijks,Vierwekelijks"</formula1>
    </dataValidation>
    <dataValidation type="list" allowBlank="1" showInputMessage="1" showErrorMessage="1" sqref="B8:C8" xr:uid="{5394770F-B81C-4881-8F68-E45CE6EBEDE9}">
      <formula1>"WAAR,NIET WAAR"</formula1>
    </dataValidation>
    <dataValidation type="list" allowBlank="1" showInputMessage="1" showErrorMessage="1" sqref="B1:C1" xr:uid="{6ED2E08B-BA5D-4877-B6CA-C1D2D89AA525}">
      <formula1>"2027,2028"</formula1>
    </dataValidation>
    <dataValidation type="list" allowBlank="1" showInputMessage="1" showErrorMessage="1" sqref="C2" xr:uid="{2F4405C9-2E78-4A4E-9EE8-3C10CC74DB09}">
      <formula1>"maandelijks,vierwekelijks"</formula1>
    </dataValidation>
    <dataValidation type="list" allowBlank="1" showInputMessage="1" showErrorMessage="1" sqref="L2:L14" xr:uid="{B68BFACD-C80F-42F3-A402-1DFBC38A01FA}">
      <formula1>Code_Soort_IKV</formula1>
    </dataValidation>
    <dataValidation type="list" allowBlank="1" showInputMessage="1" showErrorMessage="1" sqref="M2:M14" xr:uid="{A2054886-15B9-496A-9A09-8309F3220AC7}">
      <formula1>Code_Aard_Arbeidsverhouding</formula1>
    </dataValidation>
    <dataValidation type="list" allowBlank="1" showInputMessage="1" showErrorMessage="1" sqref="K2:K14" xr:uid="{BA2A9A2F-6239-4324-9543-49172613E2DC}">
      <formula1>Code_Reden_Einde_Arbeidsverhouding</formula1>
    </dataValidation>
    <dataValidation type="whole" allowBlank="1" showInputMessage="1" showErrorMessage="1" promptTitle="Handboek Loonheffingen: " prompt="Rekenkundig afgeronde hele uren" sqref="N2:N14" xr:uid="{E39A9BBD-DA3F-412F-B886-55C02A90B0D2}">
      <formula1>-999</formula1>
      <formula2>999</formula2>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B544E5B-67EA-4384-9E8F-6677296D2762}">
          <x14:formula1>
            <xm:f>rekenwaarden!$M$8:$M$12</xm:f>
          </x14:formula1>
          <xm:sqref>B6:C6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2CC1A-E216-41C9-90D9-E116AC7A9127}">
  <sheetPr>
    <tabColor theme="4" tint="0.59999389629810485"/>
  </sheetPr>
  <dimension ref="A1:AL30"/>
  <sheetViews>
    <sheetView showGridLines="0" zoomScale="90" zoomScaleNormal="90" workbookViewId="0">
      <pane xSplit="2" ySplit="30" topLeftCell="C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179687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8.1796875" customWidth="1"/>
    <col min="22" max="33" width="15.81640625" customWidth="1"/>
    <col min="34" max="34" width="19.453125" bestFit="1" customWidth="1"/>
    <col min="35" max="35" width="20.453125" customWidth="1"/>
    <col min="36" max="36" width="12.81640625" bestFit="1"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210" t="s">
        <v>18</v>
      </c>
      <c r="W1" s="211" t="s">
        <v>71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IF(OR(Datum_Einde_IKV="",Tabel13531421[[#This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IF(Tabel13531421[[#This Row],[Inkomsten-periode]]="","",DATEDIF(Geboortedatum,Tabel13531421[[#This Row],[DatEindTv]],"Y"))</f>
        <v>56</v>
      </c>
      <c r="I2" s="146">
        <f>IF(Tabel13531421[[#This Row],[Inkomsten-periode]]="","",IF(Datum_Aanvang_IKV="","",Datum_Aanvang_IKV))</f>
        <v>46143</v>
      </c>
      <c r="J2" s="146" t="str">
        <f>IF(Tabel13531421[[#This Row],[Inkomsten-periode]]="","",IF(Datum_Einde_IKV="","",IF(Datum_Einde_IKV&lt;=Tabel13531421[[#This Row],[DatEindTv]],Datum_Einde_IKV,"")))</f>
        <v/>
      </c>
      <c r="K2" s="138"/>
      <c r="L2" s="138">
        <v>15</v>
      </c>
      <c r="M2" s="138">
        <v>1</v>
      </c>
      <c r="N2" s="139">
        <v>173</v>
      </c>
      <c r="O2" s="140">
        <v>4000</v>
      </c>
      <c r="P2" s="140">
        <v>0</v>
      </c>
      <c r="Q2" s="140">
        <v>320</v>
      </c>
      <c r="R2" s="140">
        <v>0</v>
      </c>
      <c r="S2" s="140">
        <v>300</v>
      </c>
      <c r="T2" s="140">
        <v>4000</v>
      </c>
      <c r="U2" s="140"/>
      <c r="V2" s="184">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Row],[OpnAvwb]],0))))</f>
        <v>4620</v>
      </c>
      <c r="W2" s="185">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Row],[AantVerlU]],0))))</f>
        <v>173</v>
      </c>
      <c r="X2" s="184"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f>
        <v/>
      </c>
      <c r="Y2" s="185"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Row],[AantVerlU]],"")),"")</f>
        <v/>
      </c>
    </row>
    <row r="3" spans="1:38" s="113" customFormat="1" ht="16.399999999999999" customHeight="1" x14ac:dyDescent="0.25">
      <c r="A3" s="122" t="s">
        <v>21</v>
      </c>
      <c r="B3" s="133">
        <v>25785</v>
      </c>
      <c r="C3" s="202"/>
      <c r="D3" s="145">
        <f>IF(OR(Datum_Einde_IKV&gt;G2,Datum_Einde_IKV=""),IF(AND($B$2="Maandelijks", COUNTIF($D$1:D2, 12)=1), "",IF(OR(AND($B$2="Maandelijks", D2=12),AND($B$2="Vierwekelijks", D2=13), D2 = "Periode"), 1, D2+1)),"")</f>
        <v>2</v>
      </c>
      <c r="E3" s="145" t="str">
        <f>IF(OR(Datum_Einde_IKV="",Tabel13531421[[#This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IF(Tabel13531421[[#This Row],[Inkomsten-periode]]="","",DATEDIF(Geboortedatum,Tabel13531421[[#This Row],[DatEindTv]],"Y"))</f>
        <v>56</v>
      </c>
      <c r="I3" s="146">
        <f>IF(Tabel13531421[[#This Row],[Inkomsten-periode]]="","",IF(Datum_Aanvang_IKV="","",Datum_Aanvang_IKV))</f>
        <v>46143</v>
      </c>
      <c r="J3" s="146" t="str">
        <f>IF(Tabel13531421[[#This Row],[Inkomsten-periode]]="","",IF(Datum_Einde_IKV="","",IF(Datum_Einde_IKV&lt;=Tabel13531421[[#This Row],[DatEindTv]],Datum_Einde_IKV,"")))</f>
        <v/>
      </c>
      <c r="K3" s="141"/>
      <c r="L3" s="141">
        <v>15</v>
      </c>
      <c r="M3" s="141">
        <v>1</v>
      </c>
      <c r="N3" s="142">
        <v>173</v>
      </c>
      <c r="O3" s="143">
        <v>4000</v>
      </c>
      <c r="P3" s="143">
        <v>0</v>
      </c>
      <c r="Q3" s="143">
        <v>320</v>
      </c>
      <c r="R3" s="143">
        <v>0</v>
      </c>
      <c r="S3" s="143">
        <v>300</v>
      </c>
      <c r="T3" s="143">
        <v>4000</v>
      </c>
      <c r="U3" s="143"/>
      <c r="V3" s="184">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Row],[OpnAvwb]],0))))</f>
        <v>4620</v>
      </c>
      <c r="W3" s="186">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Row],[AantVerlU]],0))))</f>
        <v>173</v>
      </c>
      <c r="X3" s="184"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f>
        <v/>
      </c>
      <c r="Y3" s="186"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Row],[AantVerlU]],"")),"")</f>
        <v/>
      </c>
    </row>
    <row r="4" spans="1:38" s="113" customFormat="1" ht="16.399999999999999" customHeight="1" x14ac:dyDescent="0.25">
      <c r="A4" s="122" t="s">
        <v>22</v>
      </c>
      <c r="B4" s="134">
        <v>46143</v>
      </c>
      <c r="C4" s="202"/>
      <c r="D4" s="144">
        <f>IF(OR(Datum_Einde_IKV&gt;G3,Datum_Einde_IKV=""),IF(AND($B$2="Maandelijks", COUNTIF($D$1:D3, 12)=1), "",IF(OR(AND($B$2="Maandelijks", D3=12),AND($B$2="Vierwekelijks", D3=13), D3 = "Periode"), 1, D3+1)),"")</f>
        <v>3</v>
      </c>
      <c r="E4" s="145" t="str">
        <f>IF(OR(Datum_Einde_IKV="",Tabel13531421[[#This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IF(Tabel13531421[[#This Row],[Inkomsten-periode]]="","",DATEDIF(Geboortedatum,Tabel13531421[[#This Row],[DatEindTv]],"Y"))</f>
        <v>56</v>
      </c>
      <c r="I4" s="146">
        <f>IF(Tabel13531421[[#This Row],[Inkomsten-periode]]="","",IF(Datum_Aanvang_IKV="","",Datum_Aanvang_IKV))</f>
        <v>46143</v>
      </c>
      <c r="J4" s="146" t="str">
        <f>IF(Tabel13531421[[#This Row],[Inkomsten-periode]]="","",IF(Datum_Einde_IKV="","",IF(Datum_Einde_IKV&lt;=Tabel13531421[[#This Row],[DatEindTv]],Datum_Einde_IKV,"")))</f>
        <v/>
      </c>
      <c r="K4" s="138"/>
      <c r="L4" s="138">
        <v>15</v>
      </c>
      <c r="M4" s="138">
        <v>1</v>
      </c>
      <c r="N4" s="139">
        <v>173</v>
      </c>
      <c r="O4" s="140">
        <v>4000</v>
      </c>
      <c r="P4" s="140">
        <v>0</v>
      </c>
      <c r="Q4" s="140">
        <v>320</v>
      </c>
      <c r="R4" s="140">
        <v>0</v>
      </c>
      <c r="S4" s="140">
        <v>300</v>
      </c>
      <c r="T4" s="140">
        <v>4000</v>
      </c>
      <c r="U4" s="140"/>
      <c r="V4" s="184">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Row],[OpnAvwb]],0))))</f>
        <v>4620</v>
      </c>
      <c r="W4" s="186">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Row],[AantVerlU]],0))))</f>
        <v>173</v>
      </c>
      <c r="X4" s="184"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f>
        <v/>
      </c>
      <c r="Y4" s="186"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Row],[AantVerlU]],"")),"")</f>
        <v/>
      </c>
    </row>
    <row r="5" spans="1:38" s="113" customFormat="1" ht="16.399999999999999" customHeight="1" x14ac:dyDescent="0.25">
      <c r="A5" s="122" t="s">
        <v>23</v>
      </c>
      <c r="B5" s="133">
        <v>46538</v>
      </c>
      <c r="C5" s="202"/>
      <c r="D5" s="145">
        <f>IF(OR(Datum_Einde_IKV&gt;G4,Datum_Einde_IKV=""),IF(AND($B$2="Maandelijks", COUNTIF($D$1:D4, 12)=1), "",IF(OR(AND($B$2="Maandelijks", D4=12),AND($B$2="Vierwekelijks", D4=13), D4 = "Periode"), 1, D4+1)),"")</f>
        <v>4</v>
      </c>
      <c r="E5" s="145" t="str">
        <f>IF(OR(Datum_Einde_IKV="",Tabel13531421[[#This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IF(Tabel13531421[[#This Row],[Inkomsten-periode]]="","",DATEDIF(Geboortedatum,Tabel13531421[[#This Row],[DatEindTv]],"Y"))</f>
        <v>56</v>
      </c>
      <c r="I5" s="146">
        <f>IF(Tabel13531421[[#This Row],[Inkomsten-periode]]="","",IF(Datum_Aanvang_IKV="","",Datum_Aanvang_IKV))</f>
        <v>46143</v>
      </c>
      <c r="J5" s="146" t="str">
        <f>IF(Tabel13531421[[#This Row],[Inkomsten-periode]]="","",IF(Datum_Einde_IKV="","",IF(Datum_Einde_IKV&lt;=Tabel13531421[[#This Row],[DatEindTv]],Datum_Einde_IKV,"")))</f>
        <v/>
      </c>
      <c r="K5" s="141"/>
      <c r="L5" s="141">
        <v>15</v>
      </c>
      <c r="M5" s="141">
        <v>1</v>
      </c>
      <c r="N5" s="142">
        <v>173</v>
      </c>
      <c r="O5" s="143">
        <v>4000</v>
      </c>
      <c r="P5" s="143">
        <v>0</v>
      </c>
      <c r="Q5" s="143">
        <v>320</v>
      </c>
      <c r="R5" s="143">
        <v>0</v>
      </c>
      <c r="S5" s="143">
        <v>300</v>
      </c>
      <c r="T5" s="143">
        <v>4000</v>
      </c>
      <c r="U5" s="143"/>
      <c r="V5" s="184">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Row],[OpnAvwb]],0))))</f>
        <v>4620</v>
      </c>
      <c r="W5" s="186">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Row],[AantVerlU]],0))))</f>
        <v>173</v>
      </c>
      <c r="X5" s="184"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f>
        <v/>
      </c>
      <c r="Y5" s="186"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Row],[AantVerlU]],"")),"")</f>
        <v/>
      </c>
    </row>
    <row r="6" spans="1:38" s="113" customFormat="1" ht="16.399999999999999" customHeight="1" x14ac:dyDescent="0.25">
      <c r="A6" s="122" t="s">
        <v>24</v>
      </c>
      <c r="B6" s="135" t="s">
        <v>172</v>
      </c>
      <c r="C6" s="203"/>
      <c r="D6" s="144">
        <f>IF(OR(Datum_Einde_IKV&gt;G5,Datum_Einde_IKV=""),IF(AND($B$2="Maandelijks", COUNTIF($D$1:D5, 12)=1), "",IF(OR(AND($B$2="Maandelijks", D5=12),AND($B$2="Vierwekelijks", D5=13), D5 = "Periode"), 1, D5+1)),"")</f>
        <v>5</v>
      </c>
      <c r="E6" s="145" t="str">
        <f>IF(OR(Datum_Einde_IKV="",Tabel13531421[[#This Row],[DatAanvTv]]&lt;Datum_Einde_IKV),IF(E5="december","",IF(Verloningsperiodiciteit="maandelijks",rekenwaarden!F7,_xlfn.CONCAT("Periode ",rekenwaarden!E7))),"")</f>
        <v>mei</v>
      </c>
      <c r="F6" s="146">
        <f t="shared" si="0"/>
        <v>46508</v>
      </c>
      <c r="G6" s="146">
        <f>IF(F6="", "", IF(Verloningsperiodiciteit="Vierwekelijks", _xlfn.XLOOKUP(F6,rekenwaarden!$C$3:$C$54,rekenwaarden!$D$3:$D$54,"niet gevonden",-1), _xlfn.XLOOKUP(F6,rekenwaarden!$I$3:$I$54,rekenwaarden!$J$3:$J$54,"niet gevonden",-1)))</f>
        <v>46538</v>
      </c>
      <c r="H6" s="147">
        <f>IF(Tabel13531421[[#This Row],[Inkomsten-periode]]="","",DATEDIF(Geboortedatum,Tabel13531421[[#This Row],[DatEindTv]],"Y"))</f>
        <v>56</v>
      </c>
      <c r="I6" s="146">
        <f>IF(Tabel13531421[[#This Row],[Inkomsten-periode]]="","",IF(Datum_Aanvang_IKV="","",Datum_Aanvang_IKV))</f>
        <v>46143</v>
      </c>
      <c r="J6" s="146">
        <v>46538</v>
      </c>
      <c r="K6" s="138">
        <v>1</v>
      </c>
      <c r="L6" s="138">
        <v>15</v>
      </c>
      <c r="M6" s="138">
        <v>1</v>
      </c>
      <c r="N6" s="139">
        <v>173</v>
      </c>
      <c r="O6" s="140">
        <v>7100</v>
      </c>
      <c r="P6" s="140">
        <f>5*320</f>
        <v>1600</v>
      </c>
      <c r="Q6" s="140">
        <v>320</v>
      </c>
      <c r="R6" s="140">
        <v>1500</v>
      </c>
      <c r="S6" s="140">
        <v>300</v>
      </c>
      <c r="T6" s="140">
        <v>7100</v>
      </c>
      <c r="U6" s="140"/>
      <c r="V6" s="184">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Row],[OpnAvwb]],0))))</f>
        <v>4620</v>
      </c>
      <c r="W6" s="186">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Row],[AantVerlU]],0))))</f>
        <v>173</v>
      </c>
      <c r="X6" s="184"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f>
        <v/>
      </c>
      <c r="Y6" s="186"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Row],[AantVerlU]],"")),"")</f>
        <v/>
      </c>
    </row>
    <row r="7" spans="1:38" s="113" customFormat="1" ht="16.399999999999999" customHeight="1" x14ac:dyDescent="0.25">
      <c r="A7" s="122" t="s">
        <v>26</v>
      </c>
      <c r="B7" s="136">
        <f>VLOOKUP(B6,rekenwaarden!M8:T12,8)</f>
        <v>40</v>
      </c>
      <c r="C7" s="204"/>
      <c r="D7" s="145"/>
      <c r="E7" s="145"/>
      <c r="F7" s="146"/>
      <c r="G7" s="146"/>
      <c r="H7" s="147"/>
      <c r="I7" s="146"/>
      <c r="J7" s="146"/>
      <c r="K7" s="141"/>
      <c r="L7" s="141"/>
      <c r="M7" s="141"/>
      <c r="N7" s="142"/>
      <c r="O7" s="143"/>
      <c r="P7" s="143"/>
      <c r="Q7" s="143"/>
      <c r="R7" s="143"/>
      <c r="S7" s="143"/>
      <c r="T7" s="143"/>
      <c r="U7" s="143"/>
      <c r="V7" s="184"/>
      <c r="W7" s="186"/>
      <c r="X7" s="184"/>
      <c r="Y7" s="186"/>
    </row>
    <row r="8" spans="1:38" s="113" customFormat="1" ht="16.399999999999999" customHeight="1" x14ac:dyDescent="0.25">
      <c r="A8" s="122" t="s">
        <v>27</v>
      </c>
      <c r="B8" s="137" t="b">
        <v>1</v>
      </c>
      <c r="C8" s="202"/>
      <c r="D8" s="144"/>
      <c r="E8" s="145" t="str">
        <f>IF(OR(Datum_Einde_IKV="",Tabel13531421[[#This Row],[DatAanvTv]]&lt;Datum_Einde_IKV),IF(E7="december","",IF(Verloningsperiodiciteit="maandelijks",rekenwaarden!F9,_xlfn.CONCAT("Periode ",rekenwaarden!E9))),"")</f>
        <v/>
      </c>
      <c r="F8" s="146" t="str">
        <f t="shared" si="0"/>
        <v/>
      </c>
      <c r="G8" s="146" t="str">
        <f>IF(F8="", "", IF(Verloningsperiodiciteit="Vierwekelijks", _xlfn.XLOOKUP(F8,rekenwaarden!$C$3:$C$54,rekenwaarden!$D$3:$D$54,"niet gevonden",-1), _xlfn.XLOOKUP(F8,rekenwaarden!$I$3:$I$54,rekenwaarden!$J$3:$J$54,"niet gevonden",-1)))</f>
        <v/>
      </c>
      <c r="H8" s="147" t="str">
        <f>IF(Tabel13531421[[#This Row],[Inkomsten-periode]]="","",DATEDIF(Geboortedatum,Tabel13531421[[#This Row],[DatEindTv]],"Y"))</f>
        <v/>
      </c>
      <c r="I8" s="146" t="str">
        <f>IF(Tabel13531421[[#This Row],[Inkomsten-periode]]="","",IF(Datum_Aanvang_IKV="","",Datum_Aanvang_IKV))</f>
        <v/>
      </c>
      <c r="J8" s="146" t="str">
        <f>IF(Tabel13531421[[#This Row],[Inkomsten-periode]]="","",IF(Datum_Einde_IKV="","",IF(Datum_Einde_IKV&lt;=Tabel13531421[[#This Row],[DatEindTv]],Datum_Einde_IKV,"")))</f>
        <v/>
      </c>
      <c r="K8" s="138"/>
      <c r="L8" s="138"/>
      <c r="M8" s="138"/>
      <c r="N8" s="139"/>
      <c r="O8" s="140"/>
      <c r="P8" s="140"/>
      <c r="Q8" s="140"/>
      <c r="R8" s="140"/>
      <c r="S8" s="140"/>
      <c r="T8" s="140"/>
      <c r="U8" s="140"/>
      <c r="V8" s="184" t="str">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Row],[OpnAvwb]],0))))</f>
        <v/>
      </c>
      <c r="W8" s="186" t="str">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Row],[AantVerlU]],0))))</f>
        <v/>
      </c>
      <c r="X8" s="184"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f>
        <v/>
      </c>
      <c r="Y8" s="186"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Row],[AantVerlU]],"")),"")</f>
        <v/>
      </c>
    </row>
    <row r="9" spans="1:38" s="113" customFormat="1" ht="16.399999999999999" customHeight="1" x14ac:dyDescent="0.25">
      <c r="A9" s="122"/>
      <c r="B9" s="131"/>
      <c r="C9" s="200"/>
      <c r="D9" s="145" t="str">
        <f>IF(OR(Datum_Einde_IKV&gt;G8,Datum_Einde_IKV=""),IF(AND($B$2="Maandelijks", COUNTIF($D$1:D8, 12)=1), "",IF(OR(AND($B$2="Maandelijks", D8=12),AND($B$2="Vierwekelijks", D8=13), D8 = "Periode"), 1, D8+1)),"")</f>
        <v/>
      </c>
      <c r="E9" s="145" t="str">
        <f>IF(OR(Datum_Einde_IKV="",Tabel13531421[[#This Row],[DatAanvTv]]&lt;Datum_Einde_IKV),IF(E8="december","",IF(Verloningsperiodiciteit="maandelijks",rekenwaarden!F10,_xlfn.CONCAT("Periode ",rekenwaarden!E10))),"")</f>
        <v/>
      </c>
      <c r="F9" s="146" t="str">
        <f t="shared" si="0"/>
        <v/>
      </c>
      <c r="G9" s="146" t="str">
        <f>IF(F9="", "", IF(Verloningsperiodiciteit="Vierwekelijks", _xlfn.XLOOKUP(F9,rekenwaarden!$C$3:$C$54,rekenwaarden!$D$3:$D$54,"niet gevonden",-1), _xlfn.XLOOKUP(F9,rekenwaarden!$I$3:$I$54,rekenwaarden!$J$3:$J$54,"niet gevonden",-1)))</f>
        <v/>
      </c>
      <c r="H9" s="147" t="str">
        <f>IF(Tabel13531421[[#This Row],[Inkomsten-periode]]="","",DATEDIF(Geboortedatum,Tabel13531421[[#This Row],[DatEindTv]],"Y"))</f>
        <v/>
      </c>
      <c r="I9" s="146" t="str">
        <f>IF(Tabel13531421[[#This Row],[Inkomsten-periode]]="","",IF(Datum_Aanvang_IKV="","",Datum_Aanvang_IKV))</f>
        <v/>
      </c>
      <c r="J9" s="146" t="str">
        <f>IF(Tabel13531421[[#This Row],[Inkomsten-periode]]="","",IF(Datum_Einde_IKV="","",IF(Datum_Einde_IKV&lt;=Tabel13531421[[#This Row],[DatEindTv]],Datum_Einde_IKV,"")))</f>
        <v/>
      </c>
      <c r="K9" s="141"/>
      <c r="L9" s="141"/>
      <c r="M9" s="141"/>
      <c r="N9" s="142"/>
      <c r="O9" s="143"/>
      <c r="P9" s="143"/>
      <c r="Q9" s="143"/>
      <c r="R9" s="143"/>
      <c r="S9" s="143"/>
      <c r="T9" s="143"/>
      <c r="U9" s="143"/>
      <c r="V9" s="184" t="str">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Row],[OpnAvwb]],0))))</f>
        <v/>
      </c>
      <c r="W9" s="186" t="str">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Row],[AantVerlU]],0))))</f>
        <v/>
      </c>
      <c r="X9" s="184"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f>
        <v/>
      </c>
      <c r="Y9" s="186"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Row],[AantVerlU]],"")),"")</f>
        <v/>
      </c>
    </row>
    <row r="10" spans="1:38" s="113" customFormat="1" ht="16.399999999999999" customHeight="1" thickBot="1" x14ac:dyDescent="0.3">
      <c r="A10" s="200"/>
      <c r="B10" s="200"/>
      <c r="C10" s="200"/>
      <c r="D10" s="144" t="str">
        <f>IF(OR(Datum_Einde_IKV&gt;G9,Datum_Einde_IKV=""),IF(AND($B$2="Maandelijks", COUNTIF($D$1:D9, 12)=1), "",IF(OR(AND($B$2="Maandelijks", D9=12),AND($B$2="Vierwekelijks", D9=13), D9 = "Periode"), 1, D9+1)),"")</f>
        <v/>
      </c>
      <c r="E10" s="145" t="str">
        <f>IF(OR(Datum_Einde_IKV="",Tabel13531421[[#This Row],[DatAanvTv]]&lt;Datum_Einde_IKV),IF(E9="december","",IF(Verloningsperiodiciteit="maandelijks",rekenwaarden!F11,_xlfn.CONCAT("Periode ",rekenwaarden!E11))),"")</f>
        <v/>
      </c>
      <c r="F10" s="146" t="str">
        <f t="shared" si="0"/>
        <v/>
      </c>
      <c r="G10" s="146" t="str">
        <f>IF(F10="", "", IF(Verloningsperiodiciteit="Vierwekelijks", _xlfn.XLOOKUP(F10,rekenwaarden!$C$3:$C$54,rekenwaarden!$D$3:$D$54,"niet gevonden",-1), _xlfn.XLOOKUP(F10,rekenwaarden!$I$3:$I$54,rekenwaarden!$J$3:$J$54,"niet gevonden",-1)))</f>
        <v/>
      </c>
      <c r="H10" s="147" t="str">
        <f>IF(Tabel13531421[[#This Row],[Inkomsten-periode]]="","",DATEDIF(Geboortedatum,Tabel13531421[[#This Row],[DatEindTv]],"Y"))</f>
        <v/>
      </c>
      <c r="I10" s="146" t="str">
        <f>IF(Tabel13531421[[#This Row],[Inkomsten-periode]]="","",IF(Datum_Aanvang_IKV="","",Datum_Aanvang_IKV))</f>
        <v/>
      </c>
      <c r="J10" s="146" t="str">
        <f>IF(Tabel13531421[[#This Row],[Inkomsten-periode]]="","",IF(Datum_Einde_IKV="","",IF(Datum_Einde_IKV&lt;=Tabel13531421[[#This Row],[DatEindTv]],Datum_Einde_IKV,"")))</f>
        <v/>
      </c>
      <c r="K10" s="138"/>
      <c r="L10" s="138"/>
      <c r="M10" s="138"/>
      <c r="N10" s="139"/>
      <c r="O10" s="140"/>
      <c r="P10" s="140"/>
      <c r="Q10" s="140"/>
      <c r="R10" s="140"/>
      <c r="S10" s="140"/>
      <c r="T10" s="140"/>
      <c r="U10" s="140"/>
      <c r="V10" s="184" t="str">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Row],[OpnAvwb]],0))))</f>
        <v/>
      </c>
      <c r="W10" s="186" t="str">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Row],[AantVerlU]],0))))</f>
        <v/>
      </c>
      <c r="X10" s="184"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f>
        <v/>
      </c>
      <c r="Y10" s="186"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Row],[AantVerlU]],"")),"")</f>
        <v/>
      </c>
    </row>
    <row r="11" spans="1:38" s="113" customFormat="1" ht="16.399999999999999" customHeight="1" x14ac:dyDescent="0.25">
      <c r="A11" s="245" t="s">
        <v>65</v>
      </c>
      <c r="B11" s="246"/>
      <c r="C11" s="200"/>
      <c r="D11" s="145" t="str">
        <f>IF(OR(Datum_Einde_IKV&gt;G10,Datum_Einde_IKV=""),IF(AND($B$2="Maandelijks", COUNTIF($D$1:D10, 12)=1), "",IF(OR(AND($B$2="Maandelijks", D10=12),AND($B$2="Vierwekelijks", D10=13), D10 = "Periode"), 1, D10+1)),"")</f>
        <v/>
      </c>
      <c r="E11" s="145" t="str">
        <f>IF(OR(Datum_Einde_IKV="",Tabel13531421[[#This Row],[DatAanvTv]]&lt;Datum_Einde_IKV),IF(E10="december","",IF(Verloningsperiodiciteit="maandelijks",rekenwaarden!F12,_xlfn.CONCAT("Periode ",rekenwaarden!E12))),"")</f>
        <v/>
      </c>
      <c r="F11" s="146" t="str">
        <f t="shared" si="0"/>
        <v/>
      </c>
      <c r="G11" s="146" t="str">
        <f>IF(F11="", "", IF(Verloningsperiodiciteit="Vierwekelijks", _xlfn.XLOOKUP(F11,rekenwaarden!$C$3:$C$54,rekenwaarden!$D$3:$D$54,"niet gevonden",-1), _xlfn.XLOOKUP(F11,rekenwaarden!$I$3:$I$54,rekenwaarden!$J$3:$J$54,"niet gevonden",-1)))</f>
        <v/>
      </c>
      <c r="H11" s="147" t="str">
        <f>IF(Tabel13531421[[#This Row],[Inkomsten-periode]]="","",DATEDIF(Geboortedatum,Tabel13531421[[#This Row],[DatEindTv]],"Y"))</f>
        <v/>
      </c>
      <c r="I11" s="146" t="str">
        <f>IF(Tabel13531421[[#This Row],[Inkomsten-periode]]="","",IF(Datum_Aanvang_IKV="","",Datum_Aanvang_IKV))</f>
        <v/>
      </c>
      <c r="J11" s="146" t="str">
        <f>IF(Tabel13531421[[#This Row],[Inkomsten-periode]]="","",IF(Datum_Einde_IKV="","",IF(Datum_Einde_IKV&lt;=Tabel13531421[[#This Row],[DatEindTv]],Datum_Einde_IKV,"")))</f>
        <v/>
      </c>
      <c r="K11" s="141"/>
      <c r="L11" s="141"/>
      <c r="M11" s="141"/>
      <c r="N11" s="142"/>
      <c r="O11" s="143"/>
      <c r="P11" s="143"/>
      <c r="Q11" s="143"/>
      <c r="R11" s="143"/>
      <c r="S11" s="143"/>
      <c r="T11" s="143"/>
      <c r="U11" s="143"/>
      <c r="V11" s="184" t="str">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Row],[OpnAvwb]],0))))</f>
        <v/>
      </c>
      <c r="W11" s="186" t="str">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Row],[AantVerlU]],0))))</f>
        <v/>
      </c>
      <c r="X11" s="184"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f>
        <v/>
      </c>
      <c r="Y11" s="186"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Row],[AantVerlU]],"")),"")</f>
        <v/>
      </c>
    </row>
    <row r="12" spans="1:38" s="113" customFormat="1" ht="16.399999999999999" customHeight="1" x14ac:dyDescent="0.25">
      <c r="A12" s="249" t="s">
        <v>178</v>
      </c>
      <c r="B12" s="250"/>
      <c r="C12" s="200"/>
      <c r="D12" s="144" t="str">
        <f>IF(OR(Datum_Einde_IKV&gt;G11,Datum_Einde_IKV=""),IF(AND($B$2="Maandelijks", COUNTIF($D$1:D11, 12)=1), "",IF(OR(AND($B$2="Maandelijks", D11=12),AND($B$2="Vierwekelijks", D11=13), D11 = "Periode"), 1, D11+1)),"")</f>
        <v/>
      </c>
      <c r="E12" s="145" t="str">
        <f>IF(OR(Datum_Einde_IKV="",Tabel13531421[[#This Row],[DatAanvTv]]&lt;Datum_Einde_IKV),IF(E11="december","",IF(Verloningsperiodiciteit="maandelijks",rekenwaarden!F13,_xlfn.CONCAT("Periode ",rekenwaarden!E13))),"")</f>
        <v/>
      </c>
      <c r="F12" s="146" t="str">
        <f t="shared" si="0"/>
        <v/>
      </c>
      <c r="G12" s="146" t="str">
        <f>IF(F12="", "", IF(Verloningsperiodiciteit="Vierwekelijks", _xlfn.XLOOKUP(F12,rekenwaarden!$C$3:$C$54,rekenwaarden!$D$3:$D$54,"niet gevonden",-1), _xlfn.XLOOKUP(F12,rekenwaarden!$I$3:$I$54,rekenwaarden!$J$3:$J$54,"niet gevonden",-1)))</f>
        <v/>
      </c>
      <c r="H12" s="147" t="str">
        <f>IF(Tabel13531421[[#This Row],[Inkomsten-periode]]="","",DATEDIF(Geboortedatum,Tabel13531421[[#This Row],[DatEindTv]],"Y"))</f>
        <v/>
      </c>
      <c r="I12" s="146" t="str">
        <f>IF(Tabel13531421[[#This Row],[Inkomsten-periode]]="","",IF(Datum_Aanvang_IKV="","",Datum_Aanvang_IKV))</f>
        <v/>
      </c>
      <c r="J12" s="146" t="str">
        <f>IF(Tabel13531421[[#This Row],[Inkomsten-periode]]="","",IF(Datum_Einde_IKV="","",IF(Datum_Einde_IKV&lt;=Tabel13531421[[#This Row],[DatEindTv]],Datum_Einde_IKV,"")))</f>
        <v/>
      </c>
      <c r="K12" s="138"/>
      <c r="L12" s="138"/>
      <c r="M12" s="138"/>
      <c r="N12" s="139"/>
      <c r="O12" s="140"/>
      <c r="P12" s="140"/>
      <c r="Q12" s="140"/>
      <c r="R12" s="140"/>
      <c r="S12" s="140"/>
      <c r="T12" s="140"/>
      <c r="U12" s="140"/>
      <c r="V12" s="184" t="str">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Row],[OpnAvwb]],0))))</f>
        <v/>
      </c>
      <c r="W12" s="186" t="str">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Row],[AantVerlU]],0))))</f>
        <v/>
      </c>
      <c r="X12" s="184"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f>
        <v/>
      </c>
      <c r="Y12" s="186"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Row],[AantVerlU]],"")),"")</f>
        <v/>
      </c>
    </row>
    <row r="13" spans="1:38" s="113" customFormat="1" ht="16.399999999999999" customHeight="1" x14ac:dyDescent="0.25">
      <c r="A13" s="249"/>
      <c r="B13" s="250"/>
      <c r="C13" s="200"/>
      <c r="D13" s="145" t="str">
        <f>IF(OR(Datum_Einde_IKV&gt;G12,Datum_Einde_IKV=""),IF(AND($B$2="Maandelijks", COUNTIF($D$1:D12, 12)=1), "",IF(OR(AND($B$2="Maandelijks", D12=12),AND($B$2="Vierwekelijks", D12=13), D12 = "Periode"), 1, D12+1)),"")</f>
        <v/>
      </c>
      <c r="E13" s="145" t="str">
        <f>IF(OR(Datum_Einde_IKV="",Tabel13531421[[#This Row],[DatAanvTv]]&lt;Datum_Einde_IKV),IF(E12="december","",IF(Verloningsperiodiciteit="maandelijks",rekenwaarden!F14,_xlfn.CONCAT("Periode ",rekenwaarden!E14))),"")</f>
        <v/>
      </c>
      <c r="F13" s="146" t="str">
        <f t="shared" si="0"/>
        <v/>
      </c>
      <c r="G13" s="146" t="str">
        <f>IF(F13="", "", IF(Verloningsperiodiciteit="Vierwekelijks", _xlfn.XLOOKUP(F13,rekenwaarden!$C$3:$C$54,rekenwaarden!$D$3:$D$54,"niet gevonden",-1), _xlfn.XLOOKUP(F13,rekenwaarden!$I$3:$I$54,rekenwaarden!$J$3:$J$54,"niet gevonden",-1)))</f>
        <v/>
      </c>
      <c r="H13" s="147" t="str">
        <f>IF(Tabel13531421[[#This Row],[Inkomsten-periode]]="","",DATEDIF(Geboortedatum,Tabel13531421[[#This Row],[DatEindTv]],"Y"))</f>
        <v/>
      </c>
      <c r="I13" s="146" t="str">
        <f>IF(Tabel13531421[[#This Row],[Inkomsten-periode]]="","",IF(Datum_Aanvang_IKV="","",Datum_Aanvang_IKV))</f>
        <v/>
      </c>
      <c r="J13" s="146" t="str">
        <f>IF(Tabel13531421[[#This Row],[Inkomsten-periode]]="","",IF(Datum_Einde_IKV="","",IF(Datum_Einde_IKV&lt;=Tabel13531421[[#This Row],[DatEindTv]],Datum_Einde_IKV,"")))</f>
        <v/>
      </c>
      <c r="K13" s="141"/>
      <c r="L13" s="141"/>
      <c r="M13" s="141"/>
      <c r="N13" s="142"/>
      <c r="O13" s="143"/>
      <c r="P13" s="143"/>
      <c r="Q13" s="143"/>
      <c r="R13" s="143"/>
      <c r="S13" s="143"/>
      <c r="T13" s="143"/>
      <c r="U13" s="143"/>
      <c r="V13" s="184" t="str">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Row],[OpnAvwb]],0))))</f>
        <v/>
      </c>
      <c r="W13" s="186" t="str">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Row],[AantVerlU]],0))))</f>
        <v/>
      </c>
      <c r="X13" s="184"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f>
        <v/>
      </c>
      <c r="Y13" s="186"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Row],[AantVerlU]],"")),"")</f>
        <v/>
      </c>
    </row>
    <row r="14" spans="1:38" s="113" customFormat="1" ht="16.399999999999999" customHeight="1" x14ac:dyDescent="0.25">
      <c r="A14" s="249"/>
      <c r="B14" s="250"/>
      <c r="C14" s="200"/>
      <c r="D14" s="144" t="str">
        <f>IF(OR(Datum_Einde_IKV&gt;G13,Datum_Einde_IKV=""),IF(AND($B$2="Maandelijks", COUNTIF($D$1:D13, 12)=1), "",IF(OR(AND($B$2="Maandelijks", D13=12),AND($B$2="Vierwekelijks", D13=13), D13 = "Periode"), 1, D13+1)),"")</f>
        <v/>
      </c>
      <c r="E14" s="145" t="str">
        <f>IF(OR(Datum_Einde_IKV="",Tabel13531421[[#This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IF(Tabel13531421[[#This Row],[Inkomsten-periode]]="","",DATEDIF(Geboortedatum,Tabel13531421[[#This Row],[DatEindTv]],"Y"))</f>
        <v/>
      </c>
      <c r="I14" s="146" t="str">
        <f>IF(Tabel13531421[[#This Row],[Inkomsten-periode]]="","",IF(Datum_Aanvang_IKV="","",Datum_Aanvang_IKV))</f>
        <v/>
      </c>
      <c r="J14" s="146" t="str">
        <f>IF(Tabel13531421[[#This Row],[Inkomsten-periode]]="","",IF(Datum_Einde_IKV="","",IF(Datum_Einde_IKV&lt;=Tabel13531421[[#This Row],[DatEindTv]],Datum_Einde_IKV,"")))</f>
        <v/>
      </c>
      <c r="K14" s="138"/>
      <c r="L14" s="138"/>
      <c r="M14" s="138"/>
      <c r="N14" s="139"/>
      <c r="O14" s="140"/>
      <c r="P14" s="140"/>
      <c r="Q14" s="140"/>
      <c r="R14" s="140"/>
      <c r="S14" s="140"/>
      <c r="T14" s="140"/>
      <c r="U14" s="140"/>
      <c r="V14" s="184" t="str">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Row],[OpnAvwb]],0))))</f>
        <v/>
      </c>
      <c r="W14" s="187" t="str">
        <f>IF(Tabel13531421[[#This Row],[Inkomsten-periode]]="","",IF(OR(Tabel13531421[[#This Row],[Leeftijd]]&lt;18,Tabel13531421[[#This Row],[Leeftijd]]&gt;=68),0,IF(Tabel13531421[[#This Row],[CdRdnEindArbov]]=33,0,IF(AND(OR(Tabel13531421[[#This Row],[SrtIV]]=13,Tabel13531421[[#This Row],[SrtIV]]=15,Tabel13531421[[#This Row],[SrtIV]]=31),OR(Tabel13531421[[#This Row],[CdAard]]=1,Tabel13531421[[#This Row],[CdAard]]=11,Tabel13531421[[#This Row],[CdAard]]=82,Tabel13531421[[#This Row],[CdAard]]=83)),Tabel13531421[[#This Row],[AantVerlU]],0))))</f>
        <v/>
      </c>
      <c r="X14" s="184"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Row],[LnInGld]]+Tabel13531421[[#This Row],[OpgRchtVakBsl]]-Tabel13531421[[#This Row],[VakBsl]]+Tabel13531421[[#This Row],[OpbAvwb]]-Tabel13531421[[#This Row],[OpnAvwb]],"")),"")</f>
        <v/>
      </c>
      <c r="Y14" s="187" t="str">
        <f>IF(Tabel13531421[[#This Row],[Inkomsten-periode]]="",IF(Tabel13531421[[#This Row],[CdRdnEindArbov]]=33,0,IF(AND(OR(Tabel13531421[[#This Row],[SrtIV]]=13,Tabel13531421[[#This Row],[SrtIV]]=15,Tabel13531421[[#This Row],[SrtIV]]=31),OR(Tabel13531421[[#This Row],[CdAard]]=1,Tabel13531421[[#This Row],[CdAard]]=11,Tabel13531421[[#This Row],[CdAard]]=82,Tabel13531421[[#This Row],[CdAard]]=83)),Tabel13531421[[#This Row],[AantVerlU]],"")),"")</f>
        <v/>
      </c>
    </row>
    <row r="15" spans="1:38" ht="16.399999999999999" customHeight="1" thickBot="1" x14ac:dyDescent="0.3">
      <c r="A15" s="249"/>
      <c r="B15" s="250"/>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6.399999999999999" customHeight="1" x14ac:dyDescent="0.35">
      <c r="A16" s="249"/>
      <c r="B16" s="250"/>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249"/>
      <c r="B17" s="250"/>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249"/>
      <c r="B18" s="250"/>
      <c r="C18" s="200"/>
      <c r="D18" s="163">
        <f>D2</f>
        <v>1</v>
      </c>
      <c r="E18" s="150" t="str">
        <f>E2</f>
        <v>januari</v>
      </c>
      <c r="F18" s="151">
        <f>F2</f>
        <v>46388</v>
      </c>
      <c r="G18" s="151">
        <f>G2</f>
        <v>46418</v>
      </c>
      <c r="H18" s="188">
        <f t="shared" ref="H18:H30" si="1">IF(AND(W2="",Y2=""),"",MAX(W2,Y2))</f>
        <v>173</v>
      </c>
      <c r="I18" s="191">
        <f t="shared" ref="I18:I30" si="2">IF(AND(V2="",X2=""),"",MAX(V2,X2))</f>
        <v>4620</v>
      </c>
      <c r="J18" s="188">
        <f>IF($E18="","",IF($E19="",SUM(H18:H$30),H18))</f>
        <v>173</v>
      </c>
      <c r="K18" s="191">
        <f>IF($E18="","",IF($E19="",SUM(I18:I$30),I18))</f>
        <v>4620</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4620</v>
      </c>
      <c r="T18" s="157">
        <f t="shared" ref="T18:T30" si="10">IF(M18="","",J18+IF(AND(D18&lt;&gt;1, T17&lt;&gt;""),T17,0))</f>
        <v>173</v>
      </c>
      <c r="U18" s="157">
        <f t="shared" ref="U18:U30" si="11">IF(M18="","",R18+IF(AND(D18&lt;&gt;1, U17&lt;&gt;""),U17,0))</f>
        <v>173.33333333333334</v>
      </c>
      <c r="V18" s="158">
        <f>IF(M18="",0,T18/U18)</f>
        <v>0.99807692307692297</v>
      </c>
      <c r="W18" s="159">
        <f>IF(M18="","",VLOOKUP($B$6,rekenwaarden!M$8:N$12,2))</f>
        <v>9.4499999999999993</v>
      </c>
      <c r="X18" s="160">
        <f t="shared" ref="X18:X30" si="12">IF(M18="","",W18*J18)</f>
        <v>1634.85</v>
      </c>
      <c r="Y18" s="160">
        <f t="shared" ref="Y18:Y30" si="13">IF(M18="","",X18+IF(AND(D18&lt;&gt;1, Y17&lt;&gt;""),Y17,0))</f>
        <v>1634.85</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2985.15</v>
      </c>
      <c r="AE18" s="160">
        <f t="shared" ref="AE18:AE30" si="17">IF(M18="","",AD18-IF(AND(D18&lt;&gt;1, AD17&lt;&gt;""),AD17,0))</f>
        <v>2985.15</v>
      </c>
      <c r="AF18" s="160">
        <f>IF(OR($B$8="ONWAAR", M18=""), "", MAX(MIN(S18, AC18*MIN(1, V18))-AA18*MIN(1, V18), 0))</f>
        <v>0</v>
      </c>
      <c r="AG18" s="160">
        <f t="shared" ref="AG18:AG30" si="18">IF(OR(M18="", AF18=""),"",AF18-IF(AND(D18&lt;&gt;1, AF17&lt;&gt;""),AF17,0))</f>
        <v>0</v>
      </c>
      <c r="AH18" s="161">
        <f t="shared" ref="AH18:AH30" ca="1" si="19">IF($M18="", "", AE18*INDIRECT(CONCATENATE("premiepct", YEAR(F18))))</f>
        <v>886.58955000000003</v>
      </c>
      <c r="AI18" s="161">
        <f ca="1">IF(OR($F$4=FALSE, M18=""), "", AG18*INDIRECT(CONCATENATE("premiepct", YEAR($F18))))</f>
        <v>0</v>
      </c>
      <c r="AJ18" s="161"/>
      <c r="AK18" s="161"/>
      <c r="AL18" s="164">
        <f ca="1">IF(M18="","",SUM(AH18:AK18))</f>
        <v>886.58955000000003</v>
      </c>
    </row>
    <row r="19" spans="1:38" s="113" customFormat="1" ht="15.65" customHeight="1" x14ac:dyDescent="0.25">
      <c r="A19" s="249"/>
      <c r="B19" s="250"/>
      <c r="C19" s="200"/>
      <c r="D19" s="163">
        <f t="shared" ref="D19:G30" si="20">D3</f>
        <v>2</v>
      </c>
      <c r="E19" s="150" t="str">
        <f t="shared" si="20"/>
        <v>februari</v>
      </c>
      <c r="F19" s="151">
        <f t="shared" si="20"/>
        <v>46419</v>
      </c>
      <c r="G19" s="151">
        <f t="shared" si="20"/>
        <v>46446</v>
      </c>
      <c r="H19" s="189">
        <f t="shared" si="1"/>
        <v>173</v>
      </c>
      <c r="I19" s="192">
        <f t="shared" si="2"/>
        <v>4620</v>
      </c>
      <c r="J19" s="189">
        <f>IF($E19="","",IF($E20="",SUM(H19:H$30),H19))</f>
        <v>173</v>
      </c>
      <c r="K19" s="192">
        <f>IF($E19="","",IF($E20="",SUM(I19:I$30),I19))</f>
        <v>4620</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9240</v>
      </c>
      <c r="T19" s="157">
        <f t="shared" si="10"/>
        <v>346</v>
      </c>
      <c r="U19" s="157">
        <f t="shared" si="11"/>
        <v>346.66666666666669</v>
      </c>
      <c r="V19" s="158">
        <f t="shared" ref="V19:V30" si="22">IF(M19="","",T19/U19)</f>
        <v>0.99807692307692297</v>
      </c>
      <c r="W19" s="159">
        <f>IF(M19="","",VLOOKUP($B$6,rekenwaarden!M$8:N$12,2))</f>
        <v>9.4499999999999993</v>
      </c>
      <c r="X19" s="160">
        <f t="shared" si="12"/>
        <v>1634.85</v>
      </c>
      <c r="Y19" s="160">
        <f t="shared" si="13"/>
        <v>3269.7</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5970.3</v>
      </c>
      <c r="AE19" s="160">
        <f t="shared" si="17"/>
        <v>2985.15</v>
      </c>
      <c r="AF19" s="160">
        <f t="shared" ref="AF19:AF30" si="23">IF(OR($B$8="ONWAAR", M19=""), "", MAX(MIN(S19, AC19*MIN(1, V19))-AA19*MIN(1, V19), 0))</f>
        <v>0</v>
      </c>
      <c r="AG19" s="160">
        <f t="shared" si="18"/>
        <v>0</v>
      </c>
      <c r="AH19" s="161">
        <f t="shared" ca="1" si="19"/>
        <v>886.58955000000003</v>
      </c>
      <c r="AI19" s="161">
        <f t="shared" ref="AI19:AI30" ca="1" si="24">IF(OR($F$4=FALSE, M19=""), "", AG19*INDIRECT(CONCATENATE("premiepct", YEAR($F19))))</f>
        <v>0</v>
      </c>
      <c r="AJ19" s="161"/>
      <c r="AK19" s="161"/>
      <c r="AL19" s="164">
        <f t="shared" ref="AL19:AL30" ca="1" si="25">IF(M19="","",SUM(AH19:AK19))</f>
        <v>886.58955000000003</v>
      </c>
    </row>
    <row r="20" spans="1:38" s="113" customFormat="1" ht="15.65" customHeight="1" x14ac:dyDescent="0.25">
      <c r="A20" s="249"/>
      <c r="B20" s="250"/>
      <c r="C20" s="200"/>
      <c r="D20" s="163">
        <f t="shared" si="20"/>
        <v>3</v>
      </c>
      <c r="E20" s="150" t="str">
        <f t="shared" si="20"/>
        <v>maart</v>
      </c>
      <c r="F20" s="151">
        <f t="shared" si="20"/>
        <v>46447</v>
      </c>
      <c r="G20" s="151">
        <f t="shared" si="20"/>
        <v>46477</v>
      </c>
      <c r="H20" s="188">
        <f t="shared" si="1"/>
        <v>173</v>
      </c>
      <c r="I20" s="191">
        <f t="shared" si="2"/>
        <v>4620</v>
      </c>
      <c r="J20" s="188">
        <f>IF($E20="","",IF($E21="",SUM(H20:H$30),H20))</f>
        <v>173</v>
      </c>
      <c r="K20" s="191">
        <f>IF($E20="","",IF($E21="",SUM(I20:I$30),I20))</f>
        <v>4620</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13860</v>
      </c>
      <c r="T20" s="157">
        <f t="shared" si="10"/>
        <v>519</v>
      </c>
      <c r="U20" s="157">
        <f t="shared" si="11"/>
        <v>520</v>
      </c>
      <c r="V20" s="158">
        <f t="shared" si="22"/>
        <v>0.99807692307692308</v>
      </c>
      <c r="W20" s="159">
        <f>IF(M20="","",VLOOKUP($B$6,rekenwaarden!M$8:N$12,2))</f>
        <v>9.4499999999999993</v>
      </c>
      <c r="X20" s="160">
        <f t="shared" si="12"/>
        <v>1634.85</v>
      </c>
      <c r="Y20" s="160">
        <f t="shared" si="13"/>
        <v>4904.5499999999993</v>
      </c>
      <c r="Z20" s="160">
        <f>IF(M20="","", VLOOKUP(B$6,rekenwaarden!M$8:T$12,3)*Q20)</f>
        <v>6617.4166666666661</v>
      </c>
      <c r="AA20" s="160">
        <f t="shared" si="14"/>
        <v>19852.25</v>
      </c>
      <c r="AB20" s="160">
        <f>IF(M20="","", VLOOKUP($B$6,rekenwaarden!M$8:T$12,4)*Q20)</f>
        <v>11483.333333333332</v>
      </c>
      <c r="AC20" s="160">
        <f t="shared" si="15"/>
        <v>34450</v>
      </c>
      <c r="AD20" s="160">
        <f t="shared" si="16"/>
        <v>8955.4500000000007</v>
      </c>
      <c r="AE20" s="160">
        <f t="shared" si="17"/>
        <v>2985.1500000000005</v>
      </c>
      <c r="AF20" s="160">
        <f t="shared" si="23"/>
        <v>0</v>
      </c>
      <c r="AG20" s="160">
        <f t="shared" si="18"/>
        <v>0</v>
      </c>
      <c r="AH20" s="161">
        <f t="shared" ca="1" si="19"/>
        <v>886.58955000000014</v>
      </c>
      <c r="AI20" s="161">
        <f t="shared" ca="1" si="24"/>
        <v>0</v>
      </c>
      <c r="AJ20" s="161"/>
      <c r="AK20" s="161"/>
      <c r="AL20" s="164">
        <f t="shared" ca="1" si="25"/>
        <v>886.58955000000014</v>
      </c>
    </row>
    <row r="21" spans="1:38" s="113" customFormat="1" ht="15.65" customHeight="1" x14ac:dyDescent="0.25">
      <c r="A21" s="249"/>
      <c r="B21" s="250"/>
      <c r="C21" s="200"/>
      <c r="D21" s="163">
        <f t="shared" si="20"/>
        <v>4</v>
      </c>
      <c r="E21" s="150" t="str">
        <f t="shared" si="20"/>
        <v>april</v>
      </c>
      <c r="F21" s="151">
        <f t="shared" si="20"/>
        <v>46478</v>
      </c>
      <c r="G21" s="151">
        <f t="shared" si="20"/>
        <v>46507</v>
      </c>
      <c r="H21" s="189">
        <f t="shared" si="1"/>
        <v>173</v>
      </c>
      <c r="I21" s="192">
        <f t="shared" si="2"/>
        <v>4620</v>
      </c>
      <c r="J21" s="189">
        <f>IF($E21="","",IF($E22="",SUM(H21:H$30),H21))</f>
        <v>173</v>
      </c>
      <c r="K21" s="192">
        <f>IF($E21="","",IF($E22="",SUM(I21:I$30),I21))</f>
        <v>4620</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18480</v>
      </c>
      <c r="T21" s="157">
        <f t="shared" si="10"/>
        <v>692</v>
      </c>
      <c r="U21" s="157">
        <f t="shared" si="11"/>
        <v>693.33333333333337</v>
      </c>
      <c r="V21" s="158">
        <f t="shared" si="22"/>
        <v>0.99807692307692297</v>
      </c>
      <c r="W21" s="159">
        <f>IF(M21="","",VLOOKUP($B$6,rekenwaarden!M$8:N$12,2))</f>
        <v>9.4499999999999993</v>
      </c>
      <c r="X21" s="160">
        <f t="shared" si="12"/>
        <v>1634.85</v>
      </c>
      <c r="Y21" s="160">
        <f t="shared" si="13"/>
        <v>6539.4</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11940.6</v>
      </c>
      <c r="AE21" s="160">
        <f t="shared" si="17"/>
        <v>2985.1499999999996</v>
      </c>
      <c r="AF21" s="160">
        <f t="shared" si="23"/>
        <v>0</v>
      </c>
      <c r="AG21" s="160">
        <f t="shared" si="18"/>
        <v>0</v>
      </c>
      <c r="AH21" s="161">
        <f t="shared" ca="1" si="19"/>
        <v>886.5895499999998</v>
      </c>
      <c r="AI21" s="161">
        <f t="shared" ca="1" si="24"/>
        <v>0</v>
      </c>
      <c r="AJ21" s="161"/>
      <c r="AK21" s="161"/>
      <c r="AL21" s="164">
        <f t="shared" ca="1" si="25"/>
        <v>886.5895499999998</v>
      </c>
    </row>
    <row r="22" spans="1:38" s="113" customFormat="1" ht="15.65" customHeight="1" x14ac:dyDescent="0.25">
      <c r="A22" s="249"/>
      <c r="B22" s="250"/>
      <c r="C22" s="200"/>
      <c r="D22" s="163">
        <f t="shared" si="20"/>
        <v>5</v>
      </c>
      <c r="E22" s="150" t="str">
        <f t="shared" si="20"/>
        <v>mei</v>
      </c>
      <c r="F22" s="151">
        <f t="shared" si="20"/>
        <v>46508</v>
      </c>
      <c r="G22" s="151">
        <f t="shared" si="20"/>
        <v>46538</v>
      </c>
      <c r="H22" s="188">
        <f t="shared" si="1"/>
        <v>173</v>
      </c>
      <c r="I22" s="191">
        <f t="shared" si="2"/>
        <v>4620</v>
      </c>
      <c r="J22" s="188">
        <f>IF($E22="","",IF($E23="",SUM(H22:H$30),H22))</f>
        <v>173</v>
      </c>
      <c r="K22" s="191">
        <f>IF($E22="","",IF($E23="",SUM(I22:I$30),I22))</f>
        <v>4620</v>
      </c>
      <c r="L22" s="152">
        <f t="shared" si="3"/>
        <v>40</v>
      </c>
      <c r="M22" s="151">
        <f t="shared" si="4"/>
        <v>46508</v>
      </c>
      <c r="N22" s="151">
        <f t="shared" si="5"/>
        <v>46538</v>
      </c>
      <c r="O22" s="150">
        <f t="shared" si="21"/>
        <v>31</v>
      </c>
      <c r="P22" s="153">
        <f t="shared" si="6"/>
        <v>1</v>
      </c>
      <c r="Q22" s="154">
        <f t="shared" si="7"/>
        <v>8.3333333333333329E-2</v>
      </c>
      <c r="R22" s="155">
        <f t="shared" si="8"/>
        <v>173.33333333333334</v>
      </c>
      <c r="S22" s="156">
        <f t="shared" si="9"/>
        <v>23100</v>
      </c>
      <c r="T22" s="157">
        <f t="shared" si="10"/>
        <v>865</v>
      </c>
      <c r="U22" s="157">
        <f t="shared" si="11"/>
        <v>866.66666666666674</v>
      </c>
      <c r="V22" s="158">
        <f t="shared" si="22"/>
        <v>0.99807692307692297</v>
      </c>
      <c r="W22" s="159">
        <f>IF(M22="","",VLOOKUP($B$6,rekenwaarden!M$8:N$12,2))</f>
        <v>9.4499999999999993</v>
      </c>
      <c r="X22" s="160">
        <f t="shared" si="12"/>
        <v>1634.85</v>
      </c>
      <c r="Y22" s="160">
        <f t="shared" si="13"/>
        <v>8174.25</v>
      </c>
      <c r="Z22" s="160">
        <f>IF(M22="","", VLOOKUP(B$6,rekenwaarden!M$8:T$12,3)*Q22)</f>
        <v>6617.4166666666661</v>
      </c>
      <c r="AA22" s="160">
        <f t="shared" si="14"/>
        <v>33087.083333333328</v>
      </c>
      <c r="AB22" s="160">
        <f>IF(M22="","", VLOOKUP($B$6,rekenwaarden!M$8:T$12,4)*Q22)</f>
        <v>11483.333333333332</v>
      </c>
      <c r="AC22" s="160">
        <f t="shared" si="15"/>
        <v>57416.666666666657</v>
      </c>
      <c r="AD22" s="160">
        <f t="shared" si="16"/>
        <v>14925.75</v>
      </c>
      <c r="AE22" s="160">
        <f t="shared" si="17"/>
        <v>2985.1499999999996</v>
      </c>
      <c r="AF22" s="160">
        <f t="shared" si="23"/>
        <v>0</v>
      </c>
      <c r="AG22" s="160">
        <f t="shared" si="18"/>
        <v>0</v>
      </c>
      <c r="AH22" s="161">
        <f t="shared" ca="1" si="19"/>
        <v>886.5895499999998</v>
      </c>
      <c r="AI22" s="161">
        <f t="shared" ca="1" si="24"/>
        <v>0</v>
      </c>
      <c r="AJ22" s="161"/>
      <c r="AK22" s="161"/>
      <c r="AL22" s="164">
        <f t="shared" ca="1" si="25"/>
        <v>886.5895499999998</v>
      </c>
    </row>
    <row r="23" spans="1:38" s="113" customFormat="1" ht="15.65" customHeight="1" x14ac:dyDescent="0.25">
      <c r="A23" s="249"/>
      <c r="B23" s="250"/>
      <c r="C23" s="200"/>
      <c r="D23" s="163"/>
      <c r="E23" s="150"/>
      <c r="F23" s="151"/>
      <c r="G23" s="151"/>
      <c r="H23" s="189"/>
      <c r="I23" s="192"/>
      <c r="J23" s="189"/>
      <c r="K23" s="192"/>
      <c r="L23" s="152"/>
      <c r="M23" s="151" t="str">
        <f t="shared" si="4"/>
        <v/>
      </c>
      <c r="N23" s="151" t="str">
        <f t="shared" si="5"/>
        <v/>
      </c>
      <c r="O23" s="150" t="str">
        <f t="shared" si="21"/>
        <v/>
      </c>
      <c r="P23" s="153" t="str">
        <f t="shared" si="6"/>
        <v/>
      </c>
      <c r="Q23" s="154" t="str">
        <f t="shared" si="7"/>
        <v/>
      </c>
      <c r="R23" s="155" t="str">
        <f t="shared" si="8"/>
        <v/>
      </c>
      <c r="S23" s="156" t="str">
        <f t="shared" si="9"/>
        <v/>
      </c>
      <c r="T23" s="157" t="str">
        <f t="shared" si="10"/>
        <v/>
      </c>
      <c r="U23" s="157" t="str">
        <f t="shared" si="11"/>
        <v/>
      </c>
      <c r="V23" s="158" t="str">
        <f t="shared" si="22"/>
        <v/>
      </c>
      <c r="W23" s="159" t="str">
        <f>IF(M23="","",VLOOKUP($B$6,rekenwaarden!M$8:N$12,2))</f>
        <v/>
      </c>
      <c r="X23" s="160" t="str">
        <f t="shared" si="12"/>
        <v/>
      </c>
      <c r="Y23" s="160" t="str">
        <f t="shared" si="13"/>
        <v/>
      </c>
      <c r="Z23" s="160" t="str">
        <f>IF(M23="","", VLOOKUP(B$6,rekenwaarden!M$8:T$12,3)*Q23)</f>
        <v/>
      </c>
      <c r="AA23" s="160" t="str">
        <f t="shared" si="14"/>
        <v/>
      </c>
      <c r="AB23" s="160" t="str">
        <f>IF(M23="","", VLOOKUP($B$6,rekenwaarden!M$8:T$12,4)*Q23)</f>
        <v/>
      </c>
      <c r="AC23" s="160" t="str">
        <f t="shared" si="15"/>
        <v/>
      </c>
      <c r="AD23" s="160" t="str">
        <f t="shared" si="16"/>
        <v/>
      </c>
      <c r="AE23" s="160" t="str">
        <f t="shared" si="17"/>
        <v/>
      </c>
      <c r="AF23" s="160" t="str">
        <f t="shared" si="23"/>
        <v/>
      </c>
      <c r="AG23" s="160" t="str">
        <f t="shared" si="18"/>
        <v/>
      </c>
      <c r="AH23" s="161" t="str">
        <f t="shared" ca="1" si="19"/>
        <v/>
      </c>
      <c r="AI23" s="161" t="str">
        <f t="shared" ca="1" si="24"/>
        <v/>
      </c>
      <c r="AJ23" s="161"/>
      <c r="AK23" s="161"/>
      <c r="AL23" s="164" t="str">
        <f t="shared" si="25"/>
        <v/>
      </c>
    </row>
    <row r="24" spans="1:38" s="113" customFormat="1" ht="15.65" customHeight="1" x14ac:dyDescent="0.25">
      <c r="A24" s="249"/>
      <c r="B24" s="250"/>
      <c r="C24" s="200"/>
      <c r="D24" s="163"/>
      <c r="E24" s="150"/>
      <c r="F24" s="151"/>
      <c r="G24" s="151"/>
      <c r="H24" s="188"/>
      <c r="I24" s="191"/>
      <c r="J24" s="188"/>
      <c r="K24" s="191"/>
      <c r="L24" s="152"/>
      <c r="M24" s="151" t="str">
        <f t="shared" si="4"/>
        <v/>
      </c>
      <c r="N24" s="151" t="str">
        <f t="shared" si="5"/>
        <v/>
      </c>
      <c r="O24" s="150" t="str">
        <f t="shared" si="21"/>
        <v/>
      </c>
      <c r="P24" s="153" t="str">
        <f t="shared" si="6"/>
        <v/>
      </c>
      <c r="Q24" s="154" t="str">
        <f t="shared" si="7"/>
        <v/>
      </c>
      <c r="R24" s="155" t="str">
        <f t="shared" si="8"/>
        <v/>
      </c>
      <c r="S24" s="156" t="str">
        <f t="shared" si="9"/>
        <v/>
      </c>
      <c r="T24" s="157" t="str">
        <f t="shared" si="10"/>
        <v/>
      </c>
      <c r="U24" s="157" t="str">
        <f t="shared" si="11"/>
        <v/>
      </c>
      <c r="V24" s="158" t="str">
        <f t="shared" si="22"/>
        <v/>
      </c>
      <c r="W24" s="159" t="str">
        <f>IF(M24="","",VLOOKUP($B$6,rekenwaarden!M$8:N$12,2))</f>
        <v/>
      </c>
      <c r="X24" s="160" t="str">
        <f t="shared" si="12"/>
        <v/>
      </c>
      <c r="Y24" s="160" t="str">
        <f t="shared" si="13"/>
        <v/>
      </c>
      <c r="Z24" s="160" t="str">
        <f>IF(M24="","", VLOOKUP(B$6,rekenwaarden!M$8:T$12,3)*Q24)</f>
        <v/>
      </c>
      <c r="AA24" s="160" t="str">
        <f t="shared" si="14"/>
        <v/>
      </c>
      <c r="AB24" s="160" t="str">
        <f>IF(M24="","", VLOOKUP($B$6,rekenwaarden!M$8:T$12,4)*Q24)</f>
        <v/>
      </c>
      <c r="AC24" s="160" t="str">
        <f t="shared" si="15"/>
        <v/>
      </c>
      <c r="AD24" s="160" t="str">
        <f t="shared" si="16"/>
        <v/>
      </c>
      <c r="AE24" s="160" t="str">
        <f t="shared" si="17"/>
        <v/>
      </c>
      <c r="AF24" s="160" t="str">
        <f t="shared" si="23"/>
        <v/>
      </c>
      <c r="AG24" s="160" t="str">
        <f t="shared" si="18"/>
        <v/>
      </c>
      <c r="AH24" s="161" t="str">
        <f t="shared" ca="1" si="19"/>
        <v/>
      </c>
      <c r="AI24" s="161" t="str">
        <f t="shared" ca="1" si="24"/>
        <v/>
      </c>
      <c r="AJ24" s="161"/>
      <c r="AK24" s="161"/>
      <c r="AL24" s="164" t="str">
        <f t="shared" si="25"/>
        <v/>
      </c>
    </row>
    <row r="25" spans="1:38" s="113" customFormat="1" ht="15.65" customHeight="1" x14ac:dyDescent="0.25">
      <c r="A25" s="249"/>
      <c r="B25" s="250"/>
      <c r="C25" s="200"/>
      <c r="D25" s="163" t="str">
        <f t="shared" si="20"/>
        <v/>
      </c>
      <c r="E25" s="150" t="str">
        <f t="shared" si="20"/>
        <v/>
      </c>
      <c r="F25" s="151" t="str">
        <f t="shared" si="20"/>
        <v/>
      </c>
      <c r="G25" s="151" t="str">
        <f t="shared" si="20"/>
        <v/>
      </c>
      <c r="H25" s="189" t="str">
        <f t="shared" si="1"/>
        <v/>
      </c>
      <c r="I25" s="192" t="str">
        <f t="shared" si="2"/>
        <v/>
      </c>
      <c r="J25" s="189" t="str">
        <f>IF($E25="","",IF($E26="",SUM(H25:H$30),H25))</f>
        <v/>
      </c>
      <c r="K25" s="192" t="str">
        <f>IF($E25="","",IF($E26="",SUM(I25:I$30),I25))</f>
        <v/>
      </c>
      <c r="L25" s="152" t="str">
        <f t="shared" si="3"/>
        <v/>
      </c>
      <c r="M25" s="151" t="str">
        <f t="shared" si="4"/>
        <v/>
      </c>
      <c r="N25" s="151" t="str">
        <f t="shared" si="5"/>
        <v/>
      </c>
      <c r="O25" s="150" t="str">
        <f t="shared" si="21"/>
        <v/>
      </c>
      <c r="P25" s="153" t="str">
        <f t="shared" si="6"/>
        <v/>
      </c>
      <c r="Q25" s="154" t="str">
        <f t="shared" si="7"/>
        <v/>
      </c>
      <c r="R25" s="155" t="str">
        <f t="shared" si="8"/>
        <v/>
      </c>
      <c r="S25" s="156" t="str">
        <f t="shared" si="9"/>
        <v/>
      </c>
      <c r="T25" s="157" t="str">
        <f t="shared" si="10"/>
        <v/>
      </c>
      <c r="U25" s="157" t="str">
        <f t="shared" si="11"/>
        <v/>
      </c>
      <c r="V25" s="158" t="str">
        <f t="shared" si="22"/>
        <v/>
      </c>
      <c r="W25" s="159" t="str">
        <f>IF(M25="","",VLOOKUP($B$6,rekenwaarden!M$8:N$12,2))</f>
        <v/>
      </c>
      <c r="X25" s="160" t="str">
        <f t="shared" si="12"/>
        <v/>
      </c>
      <c r="Y25" s="160" t="str">
        <f t="shared" si="13"/>
        <v/>
      </c>
      <c r="Z25" s="160" t="str">
        <f>IF(M25="","", VLOOKUP(B$6,rekenwaarden!M$8:T$12,3)*Q25)</f>
        <v/>
      </c>
      <c r="AA25" s="160" t="str">
        <f t="shared" si="14"/>
        <v/>
      </c>
      <c r="AB25" s="160" t="str">
        <f>IF(M25="","", VLOOKUP($B$6,rekenwaarden!M$8:T$12,4)*Q25)</f>
        <v/>
      </c>
      <c r="AC25" s="160" t="str">
        <f t="shared" si="15"/>
        <v/>
      </c>
      <c r="AD25" s="160" t="str">
        <f t="shared" si="16"/>
        <v/>
      </c>
      <c r="AE25" s="160" t="str">
        <f t="shared" si="17"/>
        <v/>
      </c>
      <c r="AF25" s="160" t="str">
        <f t="shared" si="23"/>
        <v/>
      </c>
      <c r="AG25" s="160" t="str">
        <f t="shared" si="18"/>
        <v/>
      </c>
      <c r="AH25" s="161" t="str">
        <f t="shared" ca="1" si="19"/>
        <v/>
      </c>
      <c r="AI25" s="161" t="str">
        <f t="shared" ca="1" si="24"/>
        <v/>
      </c>
      <c r="AJ25" s="161"/>
      <c r="AK25" s="161"/>
      <c r="AL25" s="164" t="str">
        <f t="shared" si="25"/>
        <v/>
      </c>
    </row>
    <row r="26" spans="1:38" s="113" customFormat="1" ht="15.65" customHeight="1" x14ac:dyDescent="0.25">
      <c r="A26" s="125"/>
      <c r="B26" s="126"/>
      <c r="C26" s="200"/>
      <c r="D26" s="163" t="str">
        <f t="shared" si="20"/>
        <v/>
      </c>
      <c r="E26" s="150" t="str">
        <f t="shared" si="20"/>
        <v/>
      </c>
      <c r="F26" s="151" t="str">
        <f t="shared" si="20"/>
        <v/>
      </c>
      <c r="G26" s="151" t="str">
        <f t="shared" si="20"/>
        <v/>
      </c>
      <c r="H26" s="188" t="str">
        <f t="shared" si="1"/>
        <v/>
      </c>
      <c r="I26" s="191" t="str">
        <f t="shared" si="2"/>
        <v/>
      </c>
      <c r="J26" s="188" t="str">
        <f>IF($E26="","",IF($E27="",SUM(H26:H$30),H26))</f>
        <v/>
      </c>
      <c r="K26" s="191" t="str">
        <f>IF($E26="","",IF($E27="",SUM(I26:I$30),I26))</f>
        <v/>
      </c>
      <c r="L26" s="152" t="str">
        <f t="shared" si="3"/>
        <v/>
      </c>
      <c r="M26" s="151" t="str">
        <f t="shared" si="4"/>
        <v/>
      </c>
      <c r="N26" s="151" t="str">
        <f t="shared" si="5"/>
        <v/>
      </c>
      <c r="O26" s="150" t="str">
        <f t="shared" si="21"/>
        <v/>
      </c>
      <c r="P26" s="153" t="str">
        <f t="shared" si="6"/>
        <v/>
      </c>
      <c r="Q26" s="154" t="str">
        <f t="shared" si="7"/>
        <v/>
      </c>
      <c r="R26" s="155" t="str">
        <f t="shared" si="8"/>
        <v/>
      </c>
      <c r="S26" s="156" t="str">
        <f t="shared" si="9"/>
        <v/>
      </c>
      <c r="T26" s="157" t="str">
        <f t="shared" si="10"/>
        <v/>
      </c>
      <c r="U26" s="157" t="str">
        <f t="shared" si="11"/>
        <v/>
      </c>
      <c r="V26" s="158" t="str">
        <f t="shared" si="22"/>
        <v/>
      </c>
      <c r="W26" s="159" t="str">
        <f>IF(M26="","",VLOOKUP($B$6,rekenwaarden!M$8:N$12,2))</f>
        <v/>
      </c>
      <c r="X26" s="160" t="str">
        <f t="shared" si="12"/>
        <v/>
      </c>
      <c r="Y26" s="160" t="str">
        <f t="shared" si="13"/>
        <v/>
      </c>
      <c r="Z26" s="160" t="str">
        <f>IF(M26="","", VLOOKUP(B$6,rekenwaarden!M$8:T$12,3)*Q26)</f>
        <v/>
      </c>
      <c r="AA26" s="160" t="str">
        <f t="shared" si="14"/>
        <v/>
      </c>
      <c r="AB26" s="160" t="str">
        <f>IF(M26="","", VLOOKUP($B$6,rekenwaarden!M$8:T$12,4)*Q26)</f>
        <v/>
      </c>
      <c r="AC26" s="160" t="str">
        <f t="shared" si="15"/>
        <v/>
      </c>
      <c r="AD26" s="160" t="str">
        <f t="shared" si="16"/>
        <v/>
      </c>
      <c r="AE26" s="160" t="str">
        <f t="shared" si="17"/>
        <v/>
      </c>
      <c r="AF26" s="160" t="str">
        <f t="shared" si="23"/>
        <v/>
      </c>
      <c r="AG26" s="160" t="str">
        <f t="shared" si="18"/>
        <v/>
      </c>
      <c r="AH26" s="161" t="str">
        <f t="shared" ca="1" si="19"/>
        <v/>
      </c>
      <c r="AI26" s="161" t="str">
        <f t="shared" ca="1" si="24"/>
        <v/>
      </c>
      <c r="AJ26" s="161"/>
      <c r="AK26" s="161"/>
      <c r="AL26" s="164" t="str">
        <f t="shared" si="25"/>
        <v/>
      </c>
    </row>
    <row r="27" spans="1:38" s="113" customFormat="1" ht="15.65" customHeight="1" x14ac:dyDescent="0.25">
      <c r="A27" s="125"/>
      <c r="B27" s="126"/>
      <c r="C27" s="200"/>
      <c r="D27" s="163" t="str">
        <f t="shared" si="20"/>
        <v/>
      </c>
      <c r="E27" s="150" t="str">
        <f t="shared" si="20"/>
        <v/>
      </c>
      <c r="F27" s="151" t="str">
        <f t="shared" si="20"/>
        <v/>
      </c>
      <c r="G27" s="151" t="str">
        <f t="shared" si="20"/>
        <v/>
      </c>
      <c r="H27" s="189" t="str">
        <f t="shared" si="1"/>
        <v/>
      </c>
      <c r="I27" s="192" t="str">
        <f t="shared" si="2"/>
        <v/>
      </c>
      <c r="J27" s="189" t="str">
        <f>IF($E27="","",IF($E28="",SUM(H27:H$30),H27))</f>
        <v/>
      </c>
      <c r="K27" s="192" t="str">
        <f>IF($E27="","",IF($E28="",SUM(I27:I$30),I27))</f>
        <v/>
      </c>
      <c r="L27" s="152" t="str">
        <f t="shared" si="3"/>
        <v/>
      </c>
      <c r="M27" s="151" t="str">
        <f t="shared" si="4"/>
        <v/>
      </c>
      <c r="N27" s="151" t="str">
        <f t="shared" si="5"/>
        <v/>
      </c>
      <c r="O27" s="150" t="str">
        <f t="shared" si="21"/>
        <v/>
      </c>
      <c r="P27" s="153" t="str">
        <f t="shared" si="6"/>
        <v/>
      </c>
      <c r="Q27" s="154" t="str">
        <f t="shared" si="7"/>
        <v/>
      </c>
      <c r="R27" s="155" t="str">
        <f t="shared" si="8"/>
        <v/>
      </c>
      <c r="S27" s="156" t="str">
        <f t="shared" si="9"/>
        <v/>
      </c>
      <c r="T27" s="157" t="str">
        <f t="shared" si="10"/>
        <v/>
      </c>
      <c r="U27" s="157" t="str">
        <f t="shared" si="11"/>
        <v/>
      </c>
      <c r="V27" s="158" t="str">
        <f t="shared" si="22"/>
        <v/>
      </c>
      <c r="W27" s="159" t="str">
        <f>IF(M27="","",VLOOKUP($B$6,rekenwaarden!M$8:N$12,2))</f>
        <v/>
      </c>
      <c r="X27" s="160" t="str">
        <f t="shared" si="12"/>
        <v/>
      </c>
      <c r="Y27" s="160" t="str">
        <f t="shared" si="13"/>
        <v/>
      </c>
      <c r="Z27" s="160" t="str">
        <f>IF(M27="","", VLOOKUP(B$6,rekenwaarden!M$8:T$12,3)*Q27)</f>
        <v/>
      </c>
      <c r="AA27" s="160" t="str">
        <f t="shared" si="14"/>
        <v/>
      </c>
      <c r="AB27" s="160" t="str">
        <f>IF(M27="","", VLOOKUP($B$6,rekenwaarden!M$8:T$12,4)*Q27)</f>
        <v/>
      </c>
      <c r="AC27" s="160" t="str">
        <f t="shared" si="15"/>
        <v/>
      </c>
      <c r="AD27" s="160" t="str">
        <f t="shared" si="16"/>
        <v/>
      </c>
      <c r="AE27" s="160" t="str">
        <f t="shared" si="17"/>
        <v/>
      </c>
      <c r="AF27" s="160" t="str">
        <f t="shared" si="23"/>
        <v/>
      </c>
      <c r="AG27" s="160" t="str">
        <f t="shared" si="18"/>
        <v/>
      </c>
      <c r="AH27" s="161" t="str">
        <f t="shared" ca="1" si="19"/>
        <v/>
      </c>
      <c r="AI27" s="161" t="str">
        <f t="shared" ca="1" si="24"/>
        <v/>
      </c>
      <c r="AJ27" s="161"/>
      <c r="AK27" s="161"/>
      <c r="AL27" s="164" t="str">
        <f t="shared" si="25"/>
        <v/>
      </c>
    </row>
    <row r="28" spans="1:38" s="113" customFormat="1" ht="15.65" customHeight="1" x14ac:dyDescent="0.25">
      <c r="A28" s="125"/>
      <c r="B28" s="126"/>
      <c r="C28" s="200"/>
      <c r="D28" s="163" t="str">
        <f t="shared" si="20"/>
        <v/>
      </c>
      <c r="E28" s="150" t="str">
        <f t="shared" si="20"/>
        <v/>
      </c>
      <c r="F28" s="151" t="str">
        <f t="shared" si="20"/>
        <v/>
      </c>
      <c r="G28" s="151" t="str">
        <f t="shared" si="20"/>
        <v/>
      </c>
      <c r="H28" s="188" t="str">
        <f t="shared" si="1"/>
        <v/>
      </c>
      <c r="I28" s="191" t="str">
        <f t="shared" si="2"/>
        <v/>
      </c>
      <c r="J28" s="188" t="str">
        <f>IF($E28="","",IF($E29="",SUM(H28:H$30),H28))</f>
        <v/>
      </c>
      <c r="K28" s="191" t="str">
        <f>IF($E28="","",IF($E29="",SUM(I28:I$30),I28))</f>
        <v/>
      </c>
      <c r="L28" s="152" t="str">
        <f t="shared" si="3"/>
        <v/>
      </c>
      <c r="M28" s="151" t="str">
        <f t="shared" si="4"/>
        <v/>
      </c>
      <c r="N28" s="151" t="str">
        <f t="shared" si="5"/>
        <v/>
      </c>
      <c r="O28" s="150" t="str">
        <f t="shared" si="21"/>
        <v/>
      </c>
      <c r="P28" s="153" t="str">
        <f t="shared" si="6"/>
        <v/>
      </c>
      <c r="Q28" s="154" t="str">
        <f t="shared" si="7"/>
        <v/>
      </c>
      <c r="R28" s="155" t="str">
        <f t="shared" si="8"/>
        <v/>
      </c>
      <c r="S28" s="156" t="str">
        <f t="shared" si="9"/>
        <v/>
      </c>
      <c r="T28" s="157" t="str">
        <f t="shared" si="10"/>
        <v/>
      </c>
      <c r="U28" s="157" t="str">
        <f t="shared" si="11"/>
        <v/>
      </c>
      <c r="V28" s="158" t="str">
        <f t="shared" si="22"/>
        <v/>
      </c>
      <c r="W28" s="159" t="str">
        <f>IF(M28="","",VLOOKUP($B$6,rekenwaarden!M$8:N$12,2))</f>
        <v/>
      </c>
      <c r="X28" s="160" t="str">
        <f t="shared" si="12"/>
        <v/>
      </c>
      <c r="Y28" s="160" t="str">
        <f t="shared" si="13"/>
        <v/>
      </c>
      <c r="Z28" s="160" t="str">
        <f>IF(M28="","", VLOOKUP(B$6,rekenwaarden!M$8:T$12,3)*Q28)</f>
        <v/>
      </c>
      <c r="AA28" s="160" t="str">
        <f t="shared" si="14"/>
        <v/>
      </c>
      <c r="AB28" s="160" t="str">
        <f>IF(M28="","", VLOOKUP($B$6,rekenwaarden!M$8:T$12,4)*Q28)</f>
        <v/>
      </c>
      <c r="AC28" s="160" t="str">
        <f t="shared" si="15"/>
        <v/>
      </c>
      <c r="AD28" s="160" t="str">
        <f t="shared" si="16"/>
        <v/>
      </c>
      <c r="AE28" s="160" t="str">
        <f t="shared" si="17"/>
        <v/>
      </c>
      <c r="AF28" s="160" t="str">
        <f t="shared" si="23"/>
        <v/>
      </c>
      <c r="AG28" s="160" t="str">
        <f t="shared" si="18"/>
        <v/>
      </c>
      <c r="AH28" s="161" t="str">
        <f t="shared" ca="1" si="19"/>
        <v/>
      </c>
      <c r="AI28" s="161" t="str">
        <f t="shared" ca="1" si="24"/>
        <v/>
      </c>
      <c r="AJ28" s="161"/>
      <c r="AK28" s="161"/>
      <c r="AL28" s="164" t="str">
        <f t="shared" si="25"/>
        <v/>
      </c>
    </row>
    <row r="29" spans="1:38" s="113" customFormat="1" ht="15.65" customHeight="1" x14ac:dyDescent="0.25">
      <c r="A29" s="125"/>
      <c r="B29" s="126"/>
      <c r="C29" s="200"/>
      <c r="D29" s="163" t="str">
        <f t="shared" si="20"/>
        <v/>
      </c>
      <c r="E29" s="150" t="str">
        <f t="shared" si="20"/>
        <v/>
      </c>
      <c r="F29" s="151" t="str">
        <f t="shared" si="20"/>
        <v/>
      </c>
      <c r="G29" s="151" t="str">
        <f t="shared" si="20"/>
        <v/>
      </c>
      <c r="H29" s="189" t="str">
        <f t="shared" si="1"/>
        <v/>
      </c>
      <c r="I29" s="192" t="str">
        <f t="shared" si="2"/>
        <v/>
      </c>
      <c r="J29" s="189" t="str">
        <f>IF($E29="","",IF($E30="",SUM(H29:H$30),H29))</f>
        <v/>
      </c>
      <c r="K29" s="192" t="str">
        <f>IF($E29="","",IF($E30="",SUM(I29:I$30),I29))</f>
        <v/>
      </c>
      <c r="L29" s="152" t="str">
        <f t="shared" si="3"/>
        <v/>
      </c>
      <c r="M29" s="151" t="str">
        <f t="shared" si="4"/>
        <v/>
      </c>
      <c r="N29" s="151" t="str">
        <f t="shared" si="5"/>
        <v/>
      </c>
      <c r="O29" s="150" t="str">
        <f t="shared" si="21"/>
        <v/>
      </c>
      <c r="P29" s="153" t="str">
        <f t="shared" si="6"/>
        <v/>
      </c>
      <c r="Q29" s="154" t="str">
        <f t="shared" si="7"/>
        <v/>
      </c>
      <c r="R29" s="155" t="str">
        <f t="shared" si="8"/>
        <v/>
      </c>
      <c r="S29" s="156" t="str">
        <f t="shared" si="9"/>
        <v/>
      </c>
      <c r="T29" s="157" t="str">
        <f t="shared" si="10"/>
        <v/>
      </c>
      <c r="U29" s="157" t="str">
        <f t="shared" si="11"/>
        <v/>
      </c>
      <c r="V29" s="158" t="str">
        <f t="shared" si="22"/>
        <v/>
      </c>
      <c r="W29" s="159" t="str">
        <f>IF(M29="","",VLOOKUP($B$6,rekenwaarden!M$8:N$12,2))</f>
        <v/>
      </c>
      <c r="X29" s="160" t="str">
        <f t="shared" si="12"/>
        <v/>
      </c>
      <c r="Y29" s="160" t="str">
        <f t="shared" si="13"/>
        <v/>
      </c>
      <c r="Z29" s="160" t="str">
        <f>IF(M29="","", VLOOKUP(B$6,rekenwaarden!M$8:T$12,3)*Q29)</f>
        <v/>
      </c>
      <c r="AA29" s="160" t="str">
        <f t="shared" si="14"/>
        <v/>
      </c>
      <c r="AB29" s="160" t="str">
        <f>IF(M29="","", VLOOKUP($B$6,rekenwaarden!M$8:T$12,4)*Q29)</f>
        <v/>
      </c>
      <c r="AC29" s="160" t="str">
        <f t="shared" si="15"/>
        <v/>
      </c>
      <c r="AD29" s="160" t="str">
        <f t="shared" si="16"/>
        <v/>
      </c>
      <c r="AE29" s="160" t="str">
        <f t="shared" si="17"/>
        <v/>
      </c>
      <c r="AF29" s="160" t="str">
        <f t="shared" si="23"/>
        <v/>
      </c>
      <c r="AG29" s="160" t="str">
        <f t="shared" si="18"/>
        <v/>
      </c>
      <c r="AH29" s="161" t="str">
        <f t="shared" ca="1" si="19"/>
        <v/>
      </c>
      <c r="AI29" s="161" t="str">
        <f t="shared" ca="1" si="24"/>
        <v/>
      </c>
      <c r="AJ29" s="161"/>
      <c r="AK29" s="161"/>
      <c r="AL29" s="164" t="str">
        <f t="shared" si="25"/>
        <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sheetData>
  <sheetProtection algorithmName="SHA-512" hashValue="NTlrl7ztkVDbxx4d77LfSr5KV/B5tm8g9gnGbdfPmQSWBHVatTNrVA2U6d+R+iUEwelFqIVPAnnQniv+9HKeQg==" saltValue="Fr5uBrcFDo6W73X0HCdOzA==" spinCount="100000" sheet="1" objects="1" scenarios="1"/>
  <protectedRanges>
    <protectedRange sqref="K2:U14" name="Loonaangiftebericht"/>
    <protectedRange sqref="B1:B9" name="Persoon en IKV"/>
  </protectedRanges>
  <mergeCells count="3">
    <mergeCell ref="A11:B11"/>
    <mergeCell ref="A12:B25"/>
    <mergeCell ref="D17:E17"/>
  </mergeCells>
  <dataValidations count="8">
    <dataValidation type="list" allowBlank="1" showInputMessage="1" showErrorMessage="1" sqref="B2" xr:uid="{A4D2B813-4EF2-479F-B9E6-C667E5A483D4}">
      <formula1>"Maandelijks,Vierwekelijks"</formula1>
    </dataValidation>
    <dataValidation type="list" allowBlank="1" showInputMessage="1" showErrorMessage="1" sqref="B8:C8" xr:uid="{9773EC19-5985-4BB0-9FF1-2F524F3B6C3D}">
      <formula1>"WAAR,NIET WAAR"</formula1>
    </dataValidation>
    <dataValidation type="list" allowBlank="1" showInputMessage="1" showErrorMessage="1" sqref="B1:C1" xr:uid="{017CEB1F-E579-4D06-B738-9716E37D2789}">
      <formula1>"2027,2028"</formula1>
    </dataValidation>
    <dataValidation type="list" allowBlank="1" showInputMessage="1" showErrorMessage="1" sqref="C2" xr:uid="{7BB7C3AD-7284-423B-8E7D-E7F8C5BCCD62}">
      <formula1>"maandelijks,vierwekelijks"</formula1>
    </dataValidation>
    <dataValidation type="list" allowBlank="1" showInputMessage="1" showErrorMessage="1" sqref="L2:L14" xr:uid="{D86A5C68-08AF-4FAE-81DA-DBD19DE32643}">
      <formula1>Code_Soort_IKV</formula1>
    </dataValidation>
    <dataValidation type="list" allowBlank="1" showInputMessage="1" showErrorMessage="1" sqref="M2:M14" xr:uid="{D5A62D35-08B0-4183-A5AA-97B68D182457}">
      <formula1>Code_Aard_Arbeidsverhouding</formula1>
    </dataValidation>
    <dataValidation type="list" allowBlank="1" showInputMessage="1" showErrorMessage="1" sqref="K2:K14" xr:uid="{1F395550-F202-48FE-8E82-6478653DCCD5}">
      <formula1>Code_Reden_Einde_Arbeidsverhouding</formula1>
    </dataValidation>
    <dataValidation type="whole" allowBlank="1" showInputMessage="1" showErrorMessage="1" promptTitle="Handboek Loonheffingen: " prompt="Rekenkundig afgeronde hele uren" sqref="N2:N14" xr:uid="{0F8EACDE-4E30-4CA5-B151-2C05102510F3}">
      <formula1>-999</formula1>
      <formula2>999</formula2>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2A8F244D-4FD0-42BF-8AF0-23E2E4DF6D6B}">
          <x14:formula1>
            <xm:f>rekenwaarden!$M$8:$M$12</xm:f>
          </x14:formula1>
          <xm:sqref>B6:C6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F115A-FEF4-44A0-B922-C852A1E8F5E2}">
  <sheetPr>
    <tabColor theme="4" tint="0.59999389629810485"/>
  </sheetPr>
  <dimension ref="A1:AL30"/>
  <sheetViews>
    <sheetView showGridLines="0" zoomScale="90" zoomScaleNormal="90" workbookViewId="0">
      <pane xSplit="2" ySplit="30" topLeftCell="C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179687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8.1796875" customWidth="1"/>
    <col min="22" max="33" width="15.81640625" customWidth="1"/>
    <col min="34" max="34" width="19.453125" bestFit="1" customWidth="1"/>
    <col min="35" max="35" width="20.453125" customWidth="1"/>
    <col min="36" max="36" width="12.81640625" bestFit="1"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210" t="s">
        <v>18</v>
      </c>
      <c r="W1" s="211" t="s">
        <v>71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IF(OR(Datum_Einde_IKV="",Tabel1353142123[[#This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IF(Tabel1353142123[[#This Row],[Inkomsten-periode]]="","",DATEDIF(Geboortedatum,Tabel1353142123[[#This Row],[DatEindTv]],"Y"))</f>
        <v>56</v>
      </c>
      <c r="I2" s="146">
        <f>IF(Tabel1353142123[[#This Row],[Inkomsten-periode]]="","",IF(Datum_Aanvang_IKV="","",Datum_Aanvang_IKV))</f>
        <v>46143</v>
      </c>
      <c r="J2" s="146" t="str">
        <f>IF(Tabel1353142123[[#This Row],[Inkomsten-periode]]="","",IF(Datum_Einde_IKV="","",IF(Datum_Einde_IKV&lt;=Tabel1353142123[[#This Row],[DatEindTv]],Datum_Einde_IKV,"")))</f>
        <v/>
      </c>
      <c r="K2" s="138"/>
      <c r="L2" s="138"/>
      <c r="M2" s="138"/>
      <c r="N2" s="139"/>
      <c r="O2" s="140"/>
      <c r="P2" s="140"/>
      <c r="Q2" s="140"/>
      <c r="R2" s="140"/>
      <c r="S2" s="140"/>
      <c r="T2" s="140"/>
      <c r="U2" s="140"/>
      <c r="V2" s="184">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Row],[OpnAvwb]],0))))</f>
        <v>0</v>
      </c>
      <c r="W2" s="185">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Row],[AantVerlU]],0))))</f>
        <v>0</v>
      </c>
      <c r="X2" s="184"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f>
        <v/>
      </c>
      <c r="Y2" s="185"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f>
        <v/>
      </c>
    </row>
    <row r="3" spans="1:38" s="113" customFormat="1" ht="16.399999999999999" customHeight="1" x14ac:dyDescent="0.25">
      <c r="A3" s="122" t="s">
        <v>21</v>
      </c>
      <c r="B3" s="133">
        <v>25785</v>
      </c>
      <c r="C3" s="202"/>
      <c r="D3" s="145">
        <f>IF(OR(Datum_Einde_IKV&gt;G2,Datum_Einde_IKV=""),IF(AND($B$2="Maandelijks", COUNTIF($D$1:D2, 12)=1), "",IF(OR(AND($B$2="Maandelijks", D2=12),AND($B$2="Vierwekelijks", D2=13), D2 = "Periode"), 1, D2+1)),"")</f>
        <v>2</v>
      </c>
      <c r="E3" s="145" t="str">
        <f>IF(OR(Datum_Einde_IKV="",Tabel1353142123[[#This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IF(Tabel1353142123[[#This Row],[Inkomsten-periode]]="","",DATEDIF(Geboortedatum,Tabel1353142123[[#This Row],[DatEindTv]],"Y"))</f>
        <v>56</v>
      </c>
      <c r="I3" s="146">
        <f>IF(Tabel1353142123[[#This Row],[Inkomsten-periode]]="","",IF(Datum_Aanvang_IKV="","",Datum_Aanvang_IKV))</f>
        <v>46143</v>
      </c>
      <c r="J3" s="146" t="str">
        <f>IF(Tabel1353142123[[#This Row],[Inkomsten-periode]]="","",IF(Datum_Einde_IKV="","",IF(Datum_Einde_IKV&lt;=Tabel1353142123[[#This Row],[DatEindTv]],Datum_Einde_IKV,"")))</f>
        <v/>
      </c>
      <c r="K3" s="141"/>
      <c r="L3" s="141"/>
      <c r="M3" s="141"/>
      <c r="N3" s="142"/>
      <c r="O3" s="143"/>
      <c r="P3" s="143"/>
      <c r="Q3" s="143"/>
      <c r="R3" s="143"/>
      <c r="S3" s="143"/>
      <c r="T3" s="143"/>
      <c r="U3" s="143"/>
      <c r="V3" s="184">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Row],[OpnAvwb]],0))))</f>
        <v>0</v>
      </c>
      <c r="W3" s="186">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Row],[AantVerlU]],0))))</f>
        <v>0</v>
      </c>
      <c r="X3" s="184"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f>
        <v/>
      </c>
      <c r="Y3" s="186"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f>
        <v/>
      </c>
    </row>
    <row r="4" spans="1:38" s="113" customFormat="1" ht="16.399999999999999" customHeight="1" x14ac:dyDescent="0.25">
      <c r="A4" s="122" t="s">
        <v>22</v>
      </c>
      <c r="B4" s="134">
        <v>46143</v>
      </c>
      <c r="C4" s="202"/>
      <c r="D4" s="144">
        <f>IF(OR(Datum_Einde_IKV&gt;G3,Datum_Einde_IKV=""),IF(AND($B$2="Maandelijks", COUNTIF($D$1:D3, 12)=1), "",IF(OR(AND($B$2="Maandelijks", D3=12),AND($B$2="Vierwekelijks", D3=13), D3 = "Periode"), 1, D3+1)),"")</f>
        <v>3</v>
      </c>
      <c r="E4" s="145" t="str">
        <f>IF(OR(Datum_Einde_IKV="",Tabel1353142123[[#This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IF(Tabel1353142123[[#This Row],[Inkomsten-periode]]="","",DATEDIF(Geboortedatum,Tabel1353142123[[#This Row],[DatEindTv]],"Y"))</f>
        <v>56</v>
      </c>
      <c r="I4" s="146">
        <f>IF(Tabel1353142123[[#This Row],[Inkomsten-periode]]="","",IF(Datum_Aanvang_IKV="","",Datum_Aanvang_IKV))</f>
        <v>46143</v>
      </c>
      <c r="J4" s="146" t="str">
        <f>IF(Tabel1353142123[[#This Row],[Inkomsten-periode]]="","",IF(Datum_Einde_IKV="","",IF(Datum_Einde_IKV&lt;=Tabel1353142123[[#This Row],[DatEindTv]],Datum_Einde_IKV,"")))</f>
        <v/>
      </c>
      <c r="K4" s="138"/>
      <c r="L4" s="138"/>
      <c r="M4" s="138"/>
      <c r="N4" s="139"/>
      <c r="O4" s="140"/>
      <c r="P4" s="140"/>
      <c r="Q4" s="140"/>
      <c r="R4" s="140"/>
      <c r="S4" s="140"/>
      <c r="T4" s="140"/>
      <c r="U4" s="140"/>
      <c r="V4" s="184">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Row],[OpnAvwb]],0))))</f>
        <v>0</v>
      </c>
      <c r="W4" s="186">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Row],[AantVerlU]],0))))</f>
        <v>0</v>
      </c>
      <c r="X4" s="184"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f>
        <v/>
      </c>
      <c r="Y4" s="186"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f>
        <v/>
      </c>
    </row>
    <row r="5" spans="1:38" s="113" customFormat="1" ht="16.399999999999999" customHeight="1" x14ac:dyDescent="0.25">
      <c r="A5" s="122" t="s">
        <v>23</v>
      </c>
      <c r="B5" s="133">
        <v>46538</v>
      </c>
      <c r="C5" s="202"/>
      <c r="D5" s="145">
        <f>IF(OR(Datum_Einde_IKV&gt;G4,Datum_Einde_IKV=""),IF(AND($B$2="Maandelijks", COUNTIF($D$1:D4, 12)=1), "",IF(OR(AND($B$2="Maandelijks", D4=12),AND($B$2="Vierwekelijks", D4=13), D4 = "Periode"), 1, D4+1)),"")</f>
        <v>4</v>
      </c>
      <c r="E5" s="145" t="str">
        <f>IF(OR(Datum_Einde_IKV="",Tabel1353142123[[#This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IF(Tabel1353142123[[#This Row],[Inkomsten-periode]]="","",DATEDIF(Geboortedatum,Tabel1353142123[[#This Row],[DatEindTv]],"Y"))</f>
        <v>56</v>
      </c>
      <c r="I5" s="146">
        <f>IF(Tabel1353142123[[#This Row],[Inkomsten-periode]]="","",IF(Datum_Aanvang_IKV="","",Datum_Aanvang_IKV))</f>
        <v>46143</v>
      </c>
      <c r="J5" s="146" t="str">
        <f>IF(Tabel1353142123[[#This Row],[Inkomsten-periode]]="","",IF(Datum_Einde_IKV="","",IF(Datum_Einde_IKV&lt;=Tabel1353142123[[#This Row],[DatEindTv]],Datum_Einde_IKV,"")))</f>
        <v/>
      </c>
      <c r="K5" s="141"/>
      <c r="L5" s="141"/>
      <c r="M5" s="141"/>
      <c r="N5" s="142"/>
      <c r="O5" s="143"/>
      <c r="P5" s="143"/>
      <c r="Q5" s="143"/>
      <c r="R5" s="143"/>
      <c r="S5" s="143"/>
      <c r="T5" s="143"/>
      <c r="U5" s="143"/>
      <c r="V5" s="184">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Row],[OpnAvwb]],0))))</f>
        <v>0</v>
      </c>
      <c r="W5" s="186">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Row],[AantVerlU]],0))))</f>
        <v>0</v>
      </c>
      <c r="X5" s="184"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f>
        <v/>
      </c>
      <c r="Y5" s="186"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f>
        <v/>
      </c>
    </row>
    <row r="6" spans="1:38" s="113" customFormat="1" ht="16.399999999999999" customHeight="1" x14ac:dyDescent="0.25">
      <c r="A6" s="122" t="s">
        <v>24</v>
      </c>
      <c r="B6" s="135" t="s">
        <v>172</v>
      </c>
      <c r="C6" s="203"/>
      <c r="D6" s="144">
        <f>IF(OR(Datum_Einde_IKV&gt;G5,Datum_Einde_IKV=""),IF(AND($B$2="Maandelijks", COUNTIF($D$1:D5, 12)=1), "",IF(OR(AND($B$2="Maandelijks", D5=12),AND($B$2="Vierwekelijks", D5=13), D5 = "Periode"), 1, D5+1)),"")</f>
        <v>5</v>
      </c>
      <c r="E6" s="145" t="str">
        <f>IF(OR(Datum_Einde_IKV="",Tabel1353142123[[#This Row],[DatAanvTv]]&lt;Datum_Einde_IKV),IF(E5="december","",IF(Verloningsperiodiciteit="maandelijks",rekenwaarden!F7,_xlfn.CONCAT("Periode ",rekenwaarden!E7))),"")</f>
        <v>mei</v>
      </c>
      <c r="F6" s="146">
        <f t="shared" si="0"/>
        <v>46508</v>
      </c>
      <c r="G6" s="146">
        <f>IF(F6="", "", IF(Verloningsperiodiciteit="Vierwekelijks", _xlfn.XLOOKUP(F6,rekenwaarden!$C$3:$C$54,rekenwaarden!$D$3:$D$54,"niet gevonden",-1), _xlfn.XLOOKUP(F6,rekenwaarden!$I$3:$I$54,rekenwaarden!$J$3:$J$54,"niet gevonden",-1)))</f>
        <v>46538</v>
      </c>
      <c r="H6" s="147">
        <f>IF(Tabel1353142123[[#This Row],[Inkomsten-periode]]="","",DATEDIF(Geboortedatum,Tabel1353142123[[#This Row],[DatEindTv]],"Y"))</f>
        <v>56</v>
      </c>
      <c r="I6" s="146">
        <f>IF(Tabel1353142123[[#This Row],[Inkomsten-periode]]="","",IF(Datum_Aanvang_IKV="","",Datum_Aanvang_IKV))</f>
        <v>46143</v>
      </c>
      <c r="J6" s="146">
        <v>46538</v>
      </c>
      <c r="K6" s="138">
        <v>1</v>
      </c>
      <c r="L6" s="138">
        <v>62</v>
      </c>
      <c r="M6" s="138">
        <v>1</v>
      </c>
      <c r="N6" s="139">
        <v>0</v>
      </c>
      <c r="O6" s="140">
        <v>2000</v>
      </c>
      <c r="P6" s="140">
        <v>0</v>
      </c>
      <c r="Q6" s="140">
        <v>0</v>
      </c>
      <c r="R6" s="140">
        <v>0</v>
      </c>
      <c r="S6" s="140">
        <v>0</v>
      </c>
      <c r="T6" s="140">
        <v>2000</v>
      </c>
      <c r="U6" s="140"/>
      <c r="V6" s="184">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Row],[OpnAvwb]],0))))</f>
        <v>0</v>
      </c>
      <c r="W6" s="186">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Row],[AantVerlU]],0))))</f>
        <v>0</v>
      </c>
      <c r="X6" s="184"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f>
        <v/>
      </c>
      <c r="Y6" s="186"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f>
        <v/>
      </c>
    </row>
    <row r="7" spans="1:38" s="113" customFormat="1" ht="16.399999999999999" customHeight="1" x14ac:dyDescent="0.25">
      <c r="A7" s="122" t="s">
        <v>26</v>
      </c>
      <c r="B7" s="136">
        <f>VLOOKUP(B6,rekenwaarden!M8:T12,8)</f>
        <v>40</v>
      </c>
      <c r="C7" s="204"/>
      <c r="D7" s="145" t="str">
        <f>IF(OR(Datum_Einde_IKV&gt;G6,Datum_Einde_IKV=""),IF(AND($B$2="Maandelijks", COUNTIF($D$1:D6, 12)=1), "",IF(OR(AND($B$2="Maandelijks", D6=12),AND($B$2="Vierwekelijks", D6=13), D6 = "Periode"), 1, D6+1)),"")</f>
        <v/>
      </c>
      <c r="E7" s="145" t="str">
        <f>IF(OR(Datum_Einde_IKV="",Tabel1353142123[[#This Row],[DatAanvTv]]&lt;Datum_Einde_IKV),IF(E6="december","",IF(Verloningsperiodiciteit="maandelijks",rekenwaarden!F8,_xlfn.CONCAT("Periode ",rekenwaarden!E8))),"")</f>
        <v/>
      </c>
      <c r="F7" s="146" t="str">
        <f t="shared" si="0"/>
        <v/>
      </c>
      <c r="G7" s="146" t="str">
        <f>IF(F7="", "", IF(Verloningsperiodiciteit="Vierwekelijks", _xlfn.XLOOKUP(F7,rekenwaarden!$C$3:$C$54,rekenwaarden!$D$3:$D$54,"niet gevonden",-1), _xlfn.XLOOKUP(F7,rekenwaarden!$I$3:$I$54,rekenwaarden!$J$3:$J$54,"niet gevonden",-1)))</f>
        <v/>
      </c>
      <c r="H7" s="147" t="str">
        <f>IF(Tabel1353142123[[#This Row],[Inkomsten-periode]]="","",DATEDIF(Geboortedatum,Tabel1353142123[[#This Row],[DatEindTv]],"Y"))</f>
        <v/>
      </c>
      <c r="I7" s="146" t="str">
        <f>IF(Tabel1353142123[[#This Row],[Inkomsten-periode]]="","",IF(Datum_Aanvang_IKV="","",Datum_Aanvang_IKV))</f>
        <v/>
      </c>
      <c r="J7" s="146" t="str">
        <f>IF(Tabel1353142123[[#This Row],[Inkomsten-periode]]="","",IF(Datum_Einde_IKV="","",IF(Datum_Einde_IKV&lt;=Tabel1353142123[[#This Row],[DatEindTv]],Datum_Einde_IKV,"")))</f>
        <v/>
      </c>
      <c r="K7" s="141"/>
      <c r="L7" s="141"/>
      <c r="M7" s="141"/>
      <c r="N7" s="142"/>
      <c r="O7" s="143"/>
      <c r="P7" s="143"/>
      <c r="Q7" s="143"/>
      <c r="R7" s="143"/>
      <c r="S7" s="143"/>
      <c r="T7" s="143"/>
      <c r="U7" s="143"/>
      <c r="V7" s="184" t="str">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Row],[OpnAvwb]],0))))</f>
        <v/>
      </c>
      <c r="W7" s="186" t="str">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Row],[AantVerlU]],0))))</f>
        <v/>
      </c>
      <c r="X7" s="184"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f>
        <v/>
      </c>
      <c r="Y7" s="186"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f>
        <v/>
      </c>
    </row>
    <row r="8" spans="1:38" s="113" customFormat="1" ht="16.399999999999999" customHeight="1" x14ac:dyDescent="0.25">
      <c r="A8" s="122" t="s">
        <v>27</v>
      </c>
      <c r="B8" s="137" t="b">
        <v>1</v>
      </c>
      <c r="C8" s="202"/>
      <c r="D8" s="144" t="str">
        <f>IF(OR(Datum_Einde_IKV&gt;G7,Datum_Einde_IKV=""),IF(AND($B$2="Maandelijks", COUNTIF($D$1:D7, 12)=1), "",IF(OR(AND($B$2="Maandelijks", D7=12),AND($B$2="Vierwekelijks", D7=13), D7 = "Periode"), 1, D7+1)),"")</f>
        <v/>
      </c>
      <c r="E8" s="145" t="str">
        <f>IF(OR(Datum_Einde_IKV="",Tabel1353142123[[#This Row],[DatAanvTv]]&lt;Datum_Einde_IKV),IF(E7="december","",IF(Verloningsperiodiciteit="maandelijks",rekenwaarden!F9,_xlfn.CONCAT("Periode ",rekenwaarden!E9))),"")</f>
        <v/>
      </c>
      <c r="F8" s="146" t="str">
        <f t="shared" si="0"/>
        <v/>
      </c>
      <c r="G8" s="146" t="str">
        <f>IF(F8="", "", IF(Verloningsperiodiciteit="Vierwekelijks", _xlfn.XLOOKUP(F8,rekenwaarden!$C$3:$C$54,rekenwaarden!$D$3:$D$54,"niet gevonden",-1), _xlfn.XLOOKUP(F8,rekenwaarden!$I$3:$I$54,rekenwaarden!$J$3:$J$54,"niet gevonden",-1)))</f>
        <v/>
      </c>
      <c r="H8" s="147" t="str">
        <f>IF(Tabel1353142123[[#This Row],[Inkomsten-periode]]="","",DATEDIF(Geboortedatum,Tabel1353142123[[#This Row],[DatEindTv]],"Y"))</f>
        <v/>
      </c>
      <c r="I8" s="146" t="str">
        <f>IF(Tabel1353142123[[#This Row],[Inkomsten-periode]]="","",IF(Datum_Aanvang_IKV="","",Datum_Aanvang_IKV))</f>
        <v/>
      </c>
      <c r="J8" s="146" t="str">
        <f>IF(Tabel1353142123[[#This Row],[Inkomsten-periode]]="","",IF(Datum_Einde_IKV="","",IF(Datum_Einde_IKV&lt;=Tabel1353142123[[#This Row],[DatEindTv]],Datum_Einde_IKV,"")))</f>
        <v/>
      </c>
      <c r="K8" s="138"/>
      <c r="L8" s="138"/>
      <c r="M8" s="138"/>
      <c r="N8" s="139"/>
      <c r="O8" s="140"/>
      <c r="P8" s="140"/>
      <c r="Q8" s="140"/>
      <c r="R8" s="140"/>
      <c r="S8" s="140"/>
      <c r="T8" s="140"/>
      <c r="U8" s="140"/>
      <c r="V8" s="184" t="str">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Row],[OpnAvwb]],0))))</f>
        <v/>
      </c>
      <c r="W8" s="186" t="str">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Row],[AantVerlU]],0))))</f>
        <v/>
      </c>
      <c r="X8" s="184"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f>
        <v/>
      </c>
      <c r="Y8" s="186"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f>
        <v/>
      </c>
    </row>
    <row r="9" spans="1:38" s="113" customFormat="1" ht="16.399999999999999" customHeight="1" x14ac:dyDescent="0.25">
      <c r="A9" s="122"/>
      <c r="B9" s="131"/>
      <c r="C9" s="200"/>
      <c r="D9" s="145" t="str">
        <f>IF(OR(Datum_Einde_IKV&gt;G8,Datum_Einde_IKV=""),IF(AND($B$2="Maandelijks", COUNTIF($D$1:D8, 12)=1), "",IF(OR(AND($B$2="Maandelijks", D8=12),AND($B$2="Vierwekelijks", D8=13), D8 = "Periode"), 1, D8+1)),"")</f>
        <v/>
      </c>
      <c r="E9" s="145" t="str">
        <f>IF(OR(Datum_Einde_IKV="",Tabel1353142123[[#This Row],[DatAanvTv]]&lt;Datum_Einde_IKV),IF(E8="december","",IF(Verloningsperiodiciteit="maandelijks",rekenwaarden!F10,_xlfn.CONCAT("Periode ",rekenwaarden!E10))),"")</f>
        <v/>
      </c>
      <c r="F9" s="146" t="str">
        <f t="shared" si="0"/>
        <v/>
      </c>
      <c r="G9" s="146" t="str">
        <f>IF(F9="", "", IF(Verloningsperiodiciteit="Vierwekelijks", _xlfn.XLOOKUP(F9,rekenwaarden!$C$3:$C$54,rekenwaarden!$D$3:$D$54,"niet gevonden",-1), _xlfn.XLOOKUP(F9,rekenwaarden!$I$3:$I$54,rekenwaarden!$J$3:$J$54,"niet gevonden",-1)))</f>
        <v/>
      </c>
      <c r="H9" s="147" t="str">
        <f>IF(Tabel1353142123[[#This Row],[Inkomsten-periode]]="","",DATEDIF(Geboortedatum,Tabel1353142123[[#This Row],[DatEindTv]],"Y"))</f>
        <v/>
      </c>
      <c r="I9" s="146" t="str">
        <f>IF(Tabel1353142123[[#This Row],[Inkomsten-periode]]="","",IF(Datum_Aanvang_IKV="","",Datum_Aanvang_IKV))</f>
        <v/>
      </c>
      <c r="J9" s="146" t="str">
        <f>IF(Tabel1353142123[[#This Row],[Inkomsten-periode]]="","",IF(Datum_Einde_IKV="","",IF(Datum_Einde_IKV&lt;=Tabel1353142123[[#This Row],[DatEindTv]],Datum_Einde_IKV,"")))</f>
        <v/>
      </c>
      <c r="K9" s="141"/>
      <c r="L9" s="141"/>
      <c r="M9" s="141"/>
      <c r="N9" s="142"/>
      <c r="O9" s="143"/>
      <c r="P9" s="143"/>
      <c r="Q9" s="143"/>
      <c r="R9" s="143"/>
      <c r="S9" s="143"/>
      <c r="T9" s="143"/>
      <c r="U9" s="143"/>
      <c r="V9" s="184" t="str">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Row],[OpnAvwb]],0))))</f>
        <v/>
      </c>
      <c r="W9" s="186" t="str">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Row],[AantVerlU]],0))))</f>
        <v/>
      </c>
      <c r="X9" s="184"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f>
        <v/>
      </c>
      <c r="Y9" s="186"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f>
        <v/>
      </c>
    </row>
    <row r="10" spans="1:38" s="113" customFormat="1" ht="16.399999999999999" customHeight="1" thickBot="1" x14ac:dyDescent="0.3">
      <c r="A10" s="200"/>
      <c r="B10" s="200"/>
      <c r="C10" s="200"/>
      <c r="D10" s="144" t="str">
        <f>IF(OR(Datum_Einde_IKV&gt;G9,Datum_Einde_IKV=""),IF(AND($B$2="Maandelijks", COUNTIF($D$1:D9, 12)=1), "",IF(OR(AND($B$2="Maandelijks", D9=12),AND($B$2="Vierwekelijks", D9=13), D9 = "Periode"), 1, D9+1)),"")</f>
        <v/>
      </c>
      <c r="E10" s="145" t="str">
        <f>IF(OR(Datum_Einde_IKV="",Tabel1353142123[[#This Row],[DatAanvTv]]&lt;Datum_Einde_IKV),IF(E9="december","",IF(Verloningsperiodiciteit="maandelijks",rekenwaarden!F11,_xlfn.CONCAT("Periode ",rekenwaarden!E11))),"")</f>
        <v/>
      </c>
      <c r="F10" s="146" t="str">
        <f t="shared" si="0"/>
        <v/>
      </c>
      <c r="G10" s="146" t="str">
        <f>IF(F10="", "", IF(Verloningsperiodiciteit="Vierwekelijks", _xlfn.XLOOKUP(F10,rekenwaarden!$C$3:$C$54,rekenwaarden!$D$3:$D$54,"niet gevonden",-1), _xlfn.XLOOKUP(F10,rekenwaarden!$I$3:$I$54,rekenwaarden!$J$3:$J$54,"niet gevonden",-1)))</f>
        <v/>
      </c>
      <c r="H10" s="147" t="str">
        <f>IF(Tabel1353142123[[#This Row],[Inkomsten-periode]]="","",DATEDIF(Geboortedatum,Tabel1353142123[[#This Row],[DatEindTv]],"Y"))</f>
        <v/>
      </c>
      <c r="I10" s="146" t="str">
        <f>IF(Tabel1353142123[[#This Row],[Inkomsten-periode]]="","",IF(Datum_Aanvang_IKV="","",Datum_Aanvang_IKV))</f>
        <v/>
      </c>
      <c r="J10" s="146" t="str">
        <f>IF(Tabel1353142123[[#This Row],[Inkomsten-periode]]="","",IF(Datum_Einde_IKV="","",IF(Datum_Einde_IKV&lt;=Tabel1353142123[[#This Row],[DatEindTv]],Datum_Einde_IKV,"")))</f>
        <v/>
      </c>
      <c r="K10" s="138"/>
      <c r="L10" s="138"/>
      <c r="M10" s="138"/>
      <c r="N10" s="139"/>
      <c r="O10" s="140"/>
      <c r="P10" s="140"/>
      <c r="Q10" s="140"/>
      <c r="R10" s="140"/>
      <c r="S10" s="140"/>
      <c r="T10" s="140"/>
      <c r="U10" s="140"/>
      <c r="V10" s="184" t="str">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Row],[OpnAvwb]],0))))</f>
        <v/>
      </c>
      <c r="W10" s="186" t="str">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Row],[AantVerlU]],0))))</f>
        <v/>
      </c>
      <c r="X10" s="184"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f>
        <v/>
      </c>
      <c r="Y10" s="186"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f>
        <v/>
      </c>
    </row>
    <row r="11" spans="1:38" s="113" customFormat="1" ht="16.399999999999999" customHeight="1" x14ac:dyDescent="0.25">
      <c r="A11" s="245" t="s">
        <v>65</v>
      </c>
      <c r="B11" s="246"/>
      <c r="C11" s="200"/>
      <c r="D11" s="145" t="str">
        <f>IF(OR(Datum_Einde_IKV&gt;G10,Datum_Einde_IKV=""),IF(AND($B$2="Maandelijks", COUNTIF($D$1:D10, 12)=1), "",IF(OR(AND($B$2="Maandelijks", D10=12),AND($B$2="Vierwekelijks", D10=13), D10 = "Periode"), 1, D10+1)),"")</f>
        <v/>
      </c>
      <c r="E11" s="145" t="str">
        <f>IF(OR(Datum_Einde_IKV="",Tabel1353142123[[#This Row],[DatAanvTv]]&lt;Datum_Einde_IKV),IF(E10="december","",IF(Verloningsperiodiciteit="maandelijks",rekenwaarden!F12,_xlfn.CONCAT("Periode ",rekenwaarden!E12))),"")</f>
        <v/>
      </c>
      <c r="F11" s="146" t="str">
        <f t="shared" si="0"/>
        <v/>
      </c>
      <c r="G11" s="146" t="str">
        <f>IF(F11="", "", IF(Verloningsperiodiciteit="Vierwekelijks", _xlfn.XLOOKUP(F11,rekenwaarden!$C$3:$C$54,rekenwaarden!$D$3:$D$54,"niet gevonden",-1), _xlfn.XLOOKUP(F11,rekenwaarden!$I$3:$I$54,rekenwaarden!$J$3:$J$54,"niet gevonden",-1)))</f>
        <v/>
      </c>
      <c r="H11" s="147" t="str">
        <f>IF(Tabel1353142123[[#This Row],[Inkomsten-periode]]="","",DATEDIF(Geboortedatum,Tabel1353142123[[#This Row],[DatEindTv]],"Y"))</f>
        <v/>
      </c>
      <c r="I11" s="146" t="str">
        <f>IF(Tabel1353142123[[#This Row],[Inkomsten-periode]]="","",IF(Datum_Aanvang_IKV="","",Datum_Aanvang_IKV))</f>
        <v/>
      </c>
      <c r="J11" s="146" t="str">
        <f>IF(Tabel1353142123[[#This Row],[Inkomsten-periode]]="","",IF(Datum_Einde_IKV="","",IF(Datum_Einde_IKV&lt;=Tabel1353142123[[#This Row],[DatEindTv]],Datum_Einde_IKV,"")))</f>
        <v/>
      </c>
      <c r="K11" s="141"/>
      <c r="L11" s="141"/>
      <c r="M11" s="141"/>
      <c r="N11" s="142"/>
      <c r="O11" s="143"/>
      <c r="P11" s="143"/>
      <c r="Q11" s="143"/>
      <c r="R11" s="143"/>
      <c r="S11" s="143"/>
      <c r="T11" s="143"/>
      <c r="U11" s="143"/>
      <c r="V11" s="184" t="str">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Row],[OpnAvwb]],0))))</f>
        <v/>
      </c>
      <c r="W11" s="186" t="str">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Row],[AantVerlU]],0))))</f>
        <v/>
      </c>
      <c r="X11" s="184"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f>
        <v/>
      </c>
      <c r="Y11" s="186"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f>
        <v/>
      </c>
    </row>
    <row r="12" spans="1:38" s="113" customFormat="1" ht="16.399999999999999" customHeight="1" x14ac:dyDescent="0.25">
      <c r="A12" s="249" t="s">
        <v>178</v>
      </c>
      <c r="B12" s="250"/>
      <c r="C12" s="200"/>
      <c r="D12" s="144" t="str">
        <f>IF(OR(Datum_Einde_IKV&gt;G11,Datum_Einde_IKV=""),IF(AND($B$2="Maandelijks", COUNTIF($D$1:D11, 12)=1), "",IF(OR(AND($B$2="Maandelijks", D11=12),AND($B$2="Vierwekelijks", D11=13), D11 = "Periode"), 1, D11+1)),"")</f>
        <v/>
      </c>
      <c r="E12" s="145" t="str">
        <f>IF(OR(Datum_Einde_IKV="",Tabel1353142123[[#This Row],[DatAanvTv]]&lt;Datum_Einde_IKV),IF(E11="december","",IF(Verloningsperiodiciteit="maandelijks",rekenwaarden!F13,_xlfn.CONCAT("Periode ",rekenwaarden!E13))),"")</f>
        <v/>
      </c>
      <c r="F12" s="146" t="str">
        <f t="shared" si="0"/>
        <v/>
      </c>
      <c r="G12" s="146" t="str">
        <f>IF(F12="", "", IF(Verloningsperiodiciteit="Vierwekelijks", _xlfn.XLOOKUP(F12,rekenwaarden!$C$3:$C$54,rekenwaarden!$D$3:$D$54,"niet gevonden",-1), _xlfn.XLOOKUP(F12,rekenwaarden!$I$3:$I$54,rekenwaarden!$J$3:$J$54,"niet gevonden",-1)))</f>
        <v/>
      </c>
      <c r="H12" s="147" t="str">
        <f>IF(Tabel1353142123[[#This Row],[Inkomsten-periode]]="","",DATEDIF(Geboortedatum,Tabel1353142123[[#This Row],[DatEindTv]],"Y"))</f>
        <v/>
      </c>
      <c r="I12" s="146" t="str">
        <f>IF(Tabel1353142123[[#This Row],[Inkomsten-periode]]="","",IF(Datum_Aanvang_IKV="","",Datum_Aanvang_IKV))</f>
        <v/>
      </c>
      <c r="J12" s="146" t="str">
        <f>IF(Tabel1353142123[[#This Row],[Inkomsten-periode]]="","",IF(Datum_Einde_IKV="","",IF(Datum_Einde_IKV&lt;=Tabel1353142123[[#This Row],[DatEindTv]],Datum_Einde_IKV,"")))</f>
        <v/>
      </c>
      <c r="K12" s="138"/>
      <c r="L12" s="138"/>
      <c r="M12" s="138"/>
      <c r="N12" s="139"/>
      <c r="O12" s="140"/>
      <c r="P12" s="140"/>
      <c r="Q12" s="140"/>
      <c r="R12" s="140"/>
      <c r="S12" s="140"/>
      <c r="T12" s="140"/>
      <c r="U12" s="140"/>
      <c r="V12" s="184" t="str">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Row],[OpnAvwb]],0))))</f>
        <v/>
      </c>
      <c r="W12" s="186" t="str">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Row],[AantVerlU]],0))))</f>
        <v/>
      </c>
      <c r="X12" s="184"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f>
        <v/>
      </c>
      <c r="Y12" s="186"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f>
        <v/>
      </c>
    </row>
    <row r="13" spans="1:38" s="113" customFormat="1" ht="16.399999999999999" customHeight="1" x14ac:dyDescent="0.25">
      <c r="A13" s="249"/>
      <c r="B13" s="250"/>
      <c r="C13" s="200"/>
      <c r="D13" s="145" t="str">
        <f>IF(OR(Datum_Einde_IKV&gt;G12,Datum_Einde_IKV=""),IF(AND($B$2="Maandelijks", COUNTIF($D$1:D12, 12)=1), "",IF(OR(AND($B$2="Maandelijks", D12=12),AND($B$2="Vierwekelijks", D12=13), D12 = "Periode"), 1, D12+1)),"")</f>
        <v/>
      </c>
      <c r="E13" s="145" t="str">
        <f>IF(OR(Datum_Einde_IKV="",Tabel1353142123[[#This Row],[DatAanvTv]]&lt;Datum_Einde_IKV),IF(E12="december","",IF(Verloningsperiodiciteit="maandelijks",rekenwaarden!F14,_xlfn.CONCAT("Periode ",rekenwaarden!E14))),"")</f>
        <v/>
      </c>
      <c r="F13" s="146" t="str">
        <f t="shared" si="0"/>
        <v/>
      </c>
      <c r="G13" s="146" t="str">
        <f>IF(F13="", "", IF(Verloningsperiodiciteit="Vierwekelijks", _xlfn.XLOOKUP(F13,rekenwaarden!$C$3:$C$54,rekenwaarden!$D$3:$D$54,"niet gevonden",-1), _xlfn.XLOOKUP(F13,rekenwaarden!$I$3:$I$54,rekenwaarden!$J$3:$J$54,"niet gevonden",-1)))</f>
        <v/>
      </c>
      <c r="H13" s="147" t="str">
        <f>IF(Tabel1353142123[[#This Row],[Inkomsten-periode]]="","",DATEDIF(Geboortedatum,Tabel1353142123[[#This Row],[DatEindTv]],"Y"))</f>
        <v/>
      </c>
      <c r="I13" s="146" t="str">
        <f>IF(Tabel1353142123[[#This Row],[Inkomsten-periode]]="","",IF(Datum_Aanvang_IKV="","",Datum_Aanvang_IKV))</f>
        <v/>
      </c>
      <c r="J13" s="146" t="str">
        <f>IF(Tabel1353142123[[#This Row],[Inkomsten-periode]]="","",IF(Datum_Einde_IKV="","",IF(Datum_Einde_IKV&lt;=Tabel1353142123[[#This Row],[DatEindTv]],Datum_Einde_IKV,"")))</f>
        <v/>
      </c>
      <c r="K13" s="141"/>
      <c r="L13" s="141"/>
      <c r="M13" s="141"/>
      <c r="N13" s="142"/>
      <c r="O13" s="143"/>
      <c r="P13" s="143"/>
      <c r="Q13" s="143"/>
      <c r="R13" s="143"/>
      <c r="S13" s="143"/>
      <c r="T13" s="143"/>
      <c r="U13" s="143"/>
      <c r="V13" s="184" t="str">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Row],[OpnAvwb]],0))))</f>
        <v/>
      </c>
      <c r="W13" s="186" t="str">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Row],[AantVerlU]],0))))</f>
        <v/>
      </c>
      <c r="X13" s="184"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f>
        <v/>
      </c>
      <c r="Y13" s="186"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f>
        <v/>
      </c>
    </row>
    <row r="14" spans="1:38" s="113" customFormat="1" ht="16.399999999999999" customHeight="1" x14ac:dyDescent="0.25">
      <c r="A14" s="249"/>
      <c r="B14" s="250"/>
      <c r="C14" s="200"/>
      <c r="D14" s="144" t="str">
        <f>IF(OR(Datum_Einde_IKV&gt;G13,Datum_Einde_IKV=""),IF(AND($B$2="Maandelijks", COUNTIF($D$1:D13, 12)=1), "",IF(OR(AND($B$2="Maandelijks", D13=12),AND($B$2="Vierwekelijks", D13=13), D13 = "Periode"), 1, D13+1)),"")</f>
        <v/>
      </c>
      <c r="E14" s="145" t="str">
        <f>IF(OR(Datum_Einde_IKV="",Tabel1353142123[[#This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IF(Tabel1353142123[[#This Row],[Inkomsten-periode]]="","",DATEDIF(Geboortedatum,Tabel1353142123[[#This Row],[DatEindTv]],"Y"))</f>
        <v/>
      </c>
      <c r="I14" s="146" t="str">
        <f>IF(Tabel1353142123[[#This Row],[Inkomsten-periode]]="","",IF(Datum_Aanvang_IKV="","",Datum_Aanvang_IKV))</f>
        <v/>
      </c>
      <c r="J14" s="146" t="str">
        <f>IF(Tabel1353142123[[#This Row],[Inkomsten-periode]]="","",IF(Datum_Einde_IKV="","",IF(Datum_Einde_IKV&lt;=Tabel1353142123[[#This Row],[DatEindTv]],Datum_Einde_IKV,"")))</f>
        <v/>
      </c>
      <c r="K14" s="138"/>
      <c r="L14" s="138"/>
      <c r="M14" s="138"/>
      <c r="N14" s="139"/>
      <c r="O14" s="140"/>
      <c r="P14" s="140"/>
      <c r="Q14" s="140"/>
      <c r="R14" s="140"/>
      <c r="S14" s="140"/>
      <c r="T14" s="140"/>
      <c r="U14" s="140"/>
      <c r="V14" s="184" t="str">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Row],[OpnAvwb]],0))))</f>
        <v/>
      </c>
      <c r="W14" s="187" t="str">
        <f>IF(Tabel1353142123[[#This Row],[Inkomsten-periode]]="","",IF(OR(Tabel1353142123[[#This Row],[Leeftijd]]&lt;18,Tabel1353142123[[#This Row],[Leeftijd]]&gt;=68),0,IF(Tabel1353142123[[#This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Row],[AantVerlU]],0))))</f>
        <v/>
      </c>
      <c r="X14" s="184"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Row],[LnInGld]]+Tabel1353142123[[#This Row],[OpgRchtVakBsl]]-Tabel1353142123[[#This Row],[VakBsl]]+Tabel1353142123[[#This Row],[OpbAvwb]]-Tabel1353142123[[#This Row],[OpnAvwb]],"")),"")</f>
        <v/>
      </c>
      <c r="Y14" s="187" t="str">
        <f>IF(Tabel1353142123[[#This Row],[Inkomsten-periode]]="",IF(Tabel1353142123[[#This Row],[CdRdnEindArbov]]=33,0,IF(AND(OR(Tabel1353142123[[#This Row],[SrtIV]]=13,Tabel1353142123[[#This Row],[SrtIV]]=15,Tabel1353142123[[#This Row],[SrtIV]]=31),OR(Tabel1353142123[[#This Row],[CdAard]]=1,Tabel1353142123[[#This Row],[CdAard]]=11,Tabel1353142123[[#This Row],[CdAard]]=82,Tabel1353142123[[#This Row],[CdAard]]=83)),Tabel1353142123[[#This Row],[AantVerlU]],"")),"")</f>
        <v/>
      </c>
    </row>
    <row r="15" spans="1:38" ht="16.399999999999999" customHeight="1" thickBot="1" x14ac:dyDescent="0.3">
      <c r="A15" s="249"/>
      <c r="B15" s="250"/>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6.399999999999999" customHeight="1" x14ac:dyDescent="0.35">
      <c r="A16" s="249"/>
      <c r="B16" s="250"/>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249"/>
      <c r="B17" s="250"/>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249"/>
      <c r="B18" s="250"/>
      <c r="C18" s="200"/>
      <c r="D18" s="163">
        <f>D2</f>
        <v>1</v>
      </c>
      <c r="E18" s="150" t="str">
        <f>E2</f>
        <v>januari</v>
      </c>
      <c r="F18" s="151">
        <f>F2</f>
        <v>46388</v>
      </c>
      <c r="G18" s="151">
        <f>G2</f>
        <v>46418</v>
      </c>
      <c r="H18" s="188">
        <f t="shared" ref="H18:H30" si="1">IF(AND(W2="",Y2=""),"",MAX(W2,Y2))</f>
        <v>0</v>
      </c>
      <c r="I18" s="191">
        <f t="shared" ref="I18:I30" si="2">IF(AND(V2="",X2=""),"",MAX(V2,X2))</f>
        <v>0</v>
      </c>
      <c r="J18" s="188">
        <f>IF($E18="","",IF($E19="",SUM(H18:H$30),H18))</f>
        <v>0</v>
      </c>
      <c r="K18" s="191">
        <f>IF($E18="","",IF($E19="",SUM(I18:I$30),I18))</f>
        <v>0</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0</v>
      </c>
      <c r="T18" s="157">
        <f t="shared" ref="T18:T30" si="10">IF(M18="","",J18+IF(AND(D18&lt;&gt;1, T17&lt;&gt;""),T17,0))</f>
        <v>0</v>
      </c>
      <c r="U18" s="157">
        <f t="shared" ref="U18:U30" si="11">IF(M18="","",R18+IF(AND(D18&lt;&gt;1, U17&lt;&gt;""),U17,0))</f>
        <v>173.33333333333334</v>
      </c>
      <c r="V18" s="158">
        <f>IF(M18="",0,T18/U18)</f>
        <v>0</v>
      </c>
      <c r="W18" s="159">
        <f>IF(M18="","",VLOOKUP($B$6,rekenwaarden!M$8:N$12,2))</f>
        <v>9.4499999999999993</v>
      </c>
      <c r="X18" s="160">
        <f t="shared" ref="X18:X30" si="12">IF(M18="","",W18*J18)</f>
        <v>0</v>
      </c>
      <c r="Y18" s="160">
        <f t="shared" ref="Y18:Y30" si="13">IF(M18="","",X18+IF(AND(D18&lt;&gt;1, Y17&lt;&gt;""),Y17,0))</f>
        <v>0</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0</v>
      </c>
      <c r="AE18" s="160">
        <f t="shared" ref="AE18:AE30" si="17">IF(M18="","",AD18-IF(AND(D18&lt;&gt;1, AD17&lt;&gt;""),AD17,0))</f>
        <v>0</v>
      </c>
      <c r="AF18" s="160">
        <f>IF(OR($B$8="ONWAAR", M18=""), "", MAX(MIN(S18, AC18*MIN(1, V18))-AA18*MIN(1, V18), 0))</f>
        <v>0</v>
      </c>
      <c r="AG18" s="160">
        <f t="shared" ref="AG18:AG30" si="18">IF(OR(M18="", AF18=""),"",AF18-IF(AND(D18&lt;&gt;1, AF17&lt;&gt;""),AF17,0))</f>
        <v>0</v>
      </c>
      <c r="AH18" s="161">
        <f t="shared" ref="AH18:AH30" ca="1" si="19">IF($M18="", "", AE18*INDIRECT(CONCATENATE("premiepct", YEAR(F18))))</f>
        <v>0</v>
      </c>
      <c r="AI18" s="161">
        <f ca="1">IF(OR($F$4=FALSE, M18=""), "", AG18*INDIRECT(CONCATENATE("premiepct", YEAR($F18))))</f>
        <v>0</v>
      </c>
      <c r="AJ18" s="161"/>
      <c r="AK18" s="161"/>
      <c r="AL18" s="164">
        <f ca="1">IF(M18="","",SUM(AH18:AK18))</f>
        <v>0</v>
      </c>
    </row>
    <row r="19" spans="1:38" s="113" customFormat="1" ht="15.65" customHeight="1" x14ac:dyDescent="0.25">
      <c r="A19" s="249"/>
      <c r="B19" s="250"/>
      <c r="C19" s="200"/>
      <c r="D19" s="163">
        <f t="shared" ref="D19:G30" si="20">D3</f>
        <v>2</v>
      </c>
      <c r="E19" s="150" t="str">
        <f t="shared" si="20"/>
        <v>februari</v>
      </c>
      <c r="F19" s="151">
        <f t="shared" si="20"/>
        <v>46419</v>
      </c>
      <c r="G19" s="151">
        <f t="shared" si="20"/>
        <v>46446</v>
      </c>
      <c r="H19" s="189">
        <f t="shared" si="1"/>
        <v>0</v>
      </c>
      <c r="I19" s="192">
        <f t="shared" si="2"/>
        <v>0</v>
      </c>
      <c r="J19" s="189">
        <f>IF($E19="","",IF($E20="",SUM(H19:H$30),H19))</f>
        <v>0</v>
      </c>
      <c r="K19" s="192">
        <f>IF($E19="","",IF($E20="",SUM(I19:I$30),I19))</f>
        <v>0</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0</v>
      </c>
      <c r="T19" s="157">
        <f t="shared" si="10"/>
        <v>0</v>
      </c>
      <c r="U19" s="157">
        <f t="shared" si="11"/>
        <v>346.66666666666669</v>
      </c>
      <c r="V19" s="158">
        <f t="shared" ref="V19:V30" si="22">IF(M19="","",T19/U19)</f>
        <v>0</v>
      </c>
      <c r="W19" s="159">
        <f>IF(M19="","",VLOOKUP($B$6,rekenwaarden!M$8:N$12,2))</f>
        <v>9.4499999999999993</v>
      </c>
      <c r="X19" s="160">
        <f t="shared" si="12"/>
        <v>0</v>
      </c>
      <c r="Y19" s="160">
        <f t="shared" si="13"/>
        <v>0</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0</v>
      </c>
      <c r="AE19" s="160">
        <f t="shared" si="17"/>
        <v>0</v>
      </c>
      <c r="AF19" s="160">
        <f t="shared" ref="AF19:AF30" si="23">IF(OR($B$8="ONWAAR", M19=""), "", MAX(MIN(S19, AC19*MIN(1, V19))-AA19*MIN(1, V19), 0))</f>
        <v>0</v>
      </c>
      <c r="AG19" s="160">
        <f t="shared" si="18"/>
        <v>0</v>
      </c>
      <c r="AH19" s="161">
        <f t="shared" ca="1" si="19"/>
        <v>0</v>
      </c>
      <c r="AI19" s="161">
        <f t="shared" ref="AI19:AI30" ca="1" si="24">IF(OR($F$4=FALSE, M19=""), "", AG19*INDIRECT(CONCATENATE("premiepct", YEAR($F19))))</f>
        <v>0</v>
      </c>
      <c r="AJ19" s="161"/>
      <c r="AK19" s="161"/>
      <c r="AL19" s="164">
        <f t="shared" ref="AL19:AL30" ca="1" si="25">IF(M19="","",SUM(AH19:AK19))</f>
        <v>0</v>
      </c>
    </row>
    <row r="20" spans="1:38" s="113" customFormat="1" ht="15.65" customHeight="1" x14ac:dyDescent="0.25">
      <c r="A20" s="249"/>
      <c r="B20" s="250"/>
      <c r="C20" s="200"/>
      <c r="D20" s="163">
        <f t="shared" si="20"/>
        <v>3</v>
      </c>
      <c r="E20" s="150" t="str">
        <f t="shared" si="20"/>
        <v>maart</v>
      </c>
      <c r="F20" s="151">
        <f t="shared" si="20"/>
        <v>46447</v>
      </c>
      <c r="G20" s="151">
        <f t="shared" si="20"/>
        <v>46477</v>
      </c>
      <c r="H20" s="188">
        <f t="shared" si="1"/>
        <v>0</v>
      </c>
      <c r="I20" s="191">
        <f t="shared" si="2"/>
        <v>0</v>
      </c>
      <c r="J20" s="188">
        <f>IF($E20="","",IF($E21="",SUM(H20:H$30),H20))</f>
        <v>0</v>
      </c>
      <c r="K20" s="191">
        <f>IF($E20="","",IF($E21="",SUM(I20:I$30),I20))</f>
        <v>0</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0</v>
      </c>
      <c r="T20" s="157">
        <f t="shared" si="10"/>
        <v>0</v>
      </c>
      <c r="U20" s="157">
        <f t="shared" si="11"/>
        <v>520</v>
      </c>
      <c r="V20" s="158">
        <f t="shared" si="22"/>
        <v>0</v>
      </c>
      <c r="W20" s="159">
        <f>IF(M20="","",VLOOKUP($B$6,rekenwaarden!M$8:N$12,2))</f>
        <v>9.4499999999999993</v>
      </c>
      <c r="X20" s="160">
        <f t="shared" si="12"/>
        <v>0</v>
      </c>
      <c r="Y20" s="160">
        <f t="shared" si="13"/>
        <v>0</v>
      </c>
      <c r="Z20" s="160">
        <f>IF(M20="","", VLOOKUP(B$6,rekenwaarden!M$8:T$12,3)*Q20)</f>
        <v>6617.4166666666661</v>
      </c>
      <c r="AA20" s="160">
        <f t="shared" si="14"/>
        <v>19852.25</v>
      </c>
      <c r="AB20" s="160">
        <f>IF(M20="","", VLOOKUP($B$6,rekenwaarden!M$8:T$12,4)*Q20)</f>
        <v>11483.333333333332</v>
      </c>
      <c r="AC20" s="160">
        <f t="shared" si="15"/>
        <v>34450</v>
      </c>
      <c r="AD20" s="160">
        <f t="shared" si="16"/>
        <v>0</v>
      </c>
      <c r="AE20" s="160">
        <f t="shared" si="17"/>
        <v>0</v>
      </c>
      <c r="AF20" s="160">
        <f t="shared" si="23"/>
        <v>0</v>
      </c>
      <c r="AG20" s="160">
        <f t="shared" si="18"/>
        <v>0</v>
      </c>
      <c r="AH20" s="161">
        <f t="shared" ca="1" si="19"/>
        <v>0</v>
      </c>
      <c r="AI20" s="161">
        <f t="shared" ca="1" si="24"/>
        <v>0</v>
      </c>
      <c r="AJ20" s="161"/>
      <c r="AK20" s="161"/>
      <c r="AL20" s="164">
        <f t="shared" ca="1" si="25"/>
        <v>0</v>
      </c>
    </row>
    <row r="21" spans="1:38" s="113" customFormat="1" ht="15.65" customHeight="1" x14ac:dyDescent="0.25">
      <c r="A21" s="249"/>
      <c r="B21" s="250"/>
      <c r="C21" s="200"/>
      <c r="D21" s="163">
        <f t="shared" si="20"/>
        <v>4</v>
      </c>
      <c r="E21" s="150" t="str">
        <f t="shared" si="20"/>
        <v>april</v>
      </c>
      <c r="F21" s="151">
        <f t="shared" si="20"/>
        <v>46478</v>
      </c>
      <c r="G21" s="151">
        <f t="shared" si="20"/>
        <v>46507</v>
      </c>
      <c r="H21" s="189">
        <f t="shared" si="1"/>
        <v>0</v>
      </c>
      <c r="I21" s="192">
        <f t="shared" si="2"/>
        <v>0</v>
      </c>
      <c r="J21" s="189">
        <f>IF($E21="","",IF($E22="",SUM(H21:H$30),H21))</f>
        <v>0</v>
      </c>
      <c r="K21" s="192">
        <f>IF($E21="","",IF($E22="",SUM(I21:I$30),I21))</f>
        <v>0</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0</v>
      </c>
      <c r="T21" s="157">
        <f t="shared" si="10"/>
        <v>0</v>
      </c>
      <c r="U21" s="157">
        <f t="shared" si="11"/>
        <v>693.33333333333337</v>
      </c>
      <c r="V21" s="158">
        <f t="shared" si="22"/>
        <v>0</v>
      </c>
      <c r="W21" s="159">
        <f>IF(M21="","",VLOOKUP($B$6,rekenwaarden!M$8:N$12,2))</f>
        <v>9.4499999999999993</v>
      </c>
      <c r="X21" s="160">
        <f t="shared" si="12"/>
        <v>0</v>
      </c>
      <c r="Y21" s="160">
        <f t="shared" si="13"/>
        <v>0</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0</v>
      </c>
      <c r="AE21" s="160">
        <f t="shared" si="17"/>
        <v>0</v>
      </c>
      <c r="AF21" s="160">
        <f t="shared" si="23"/>
        <v>0</v>
      </c>
      <c r="AG21" s="160">
        <f t="shared" si="18"/>
        <v>0</v>
      </c>
      <c r="AH21" s="161">
        <f t="shared" ca="1" si="19"/>
        <v>0</v>
      </c>
      <c r="AI21" s="161">
        <f t="shared" ca="1" si="24"/>
        <v>0</v>
      </c>
      <c r="AJ21" s="161"/>
      <c r="AK21" s="161"/>
      <c r="AL21" s="164">
        <f t="shared" ca="1" si="25"/>
        <v>0</v>
      </c>
    </row>
    <row r="22" spans="1:38" s="113" customFormat="1" ht="15.65" customHeight="1" x14ac:dyDescent="0.25">
      <c r="A22" s="249"/>
      <c r="B22" s="250"/>
      <c r="C22" s="200"/>
      <c r="D22" s="163">
        <f t="shared" si="20"/>
        <v>5</v>
      </c>
      <c r="E22" s="150" t="str">
        <f t="shared" si="20"/>
        <v>mei</v>
      </c>
      <c r="F22" s="151">
        <f t="shared" si="20"/>
        <v>46508</v>
      </c>
      <c r="G22" s="151">
        <f t="shared" si="20"/>
        <v>46538</v>
      </c>
      <c r="H22" s="188">
        <f t="shared" si="1"/>
        <v>0</v>
      </c>
      <c r="I22" s="191">
        <f t="shared" si="2"/>
        <v>0</v>
      </c>
      <c r="J22" s="188">
        <f>IF($E22="","",IF($E23="",SUM(H22:H$30),H22))</f>
        <v>0</v>
      </c>
      <c r="K22" s="191">
        <f>IF($E22="","",IF($E23="",SUM(I22:I$30),I22))</f>
        <v>0</v>
      </c>
      <c r="L22" s="152">
        <f t="shared" si="3"/>
        <v>40</v>
      </c>
      <c r="M22" s="151">
        <f t="shared" si="4"/>
        <v>46508</v>
      </c>
      <c r="N22" s="151">
        <f t="shared" si="5"/>
        <v>46538</v>
      </c>
      <c r="O22" s="150">
        <f t="shared" si="21"/>
        <v>31</v>
      </c>
      <c r="P22" s="153">
        <f t="shared" si="6"/>
        <v>1</v>
      </c>
      <c r="Q22" s="154">
        <f t="shared" si="7"/>
        <v>8.3333333333333329E-2</v>
      </c>
      <c r="R22" s="155">
        <f t="shared" si="8"/>
        <v>173.33333333333334</v>
      </c>
      <c r="S22" s="156">
        <f t="shared" si="9"/>
        <v>0</v>
      </c>
      <c r="T22" s="157">
        <f t="shared" si="10"/>
        <v>0</v>
      </c>
      <c r="U22" s="157">
        <f t="shared" si="11"/>
        <v>866.66666666666674</v>
      </c>
      <c r="V22" s="158">
        <f t="shared" si="22"/>
        <v>0</v>
      </c>
      <c r="W22" s="159">
        <f>IF(M22="","",VLOOKUP($B$6,rekenwaarden!M$8:N$12,2))</f>
        <v>9.4499999999999993</v>
      </c>
      <c r="X22" s="160">
        <f t="shared" si="12"/>
        <v>0</v>
      </c>
      <c r="Y22" s="160">
        <f t="shared" si="13"/>
        <v>0</v>
      </c>
      <c r="Z22" s="160">
        <f>IF(M22="","", VLOOKUP(B$6,rekenwaarden!M$8:T$12,3)*Q22)</f>
        <v>6617.4166666666661</v>
      </c>
      <c r="AA22" s="160">
        <f t="shared" si="14"/>
        <v>33087.083333333328</v>
      </c>
      <c r="AB22" s="160">
        <f>IF(M22="","", VLOOKUP($B$6,rekenwaarden!M$8:T$12,4)*Q22)</f>
        <v>11483.333333333332</v>
      </c>
      <c r="AC22" s="160">
        <f t="shared" si="15"/>
        <v>57416.666666666657</v>
      </c>
      <c r="AD22" s="160">
        <f t="shared" si="16"/>
        <v>0</v>
      </c>
      <c r="AE22" s="160">
        <f t="shared" si="17"/>
        <v>0</v>
      </c>
      <c r="AF22" s="160">
        <f t="shared" si="23"/>
        <v>0</v>
      </c>
      <c r="AG22" s="160">
        <f t="shared" si="18"/>
        <v>0</v>
      </c>
      <c r="AH22" s="161">
        <f t="shared" ca="1" si="19"/>
        <v>0</v>
      </c>
      <c r="AI22" s="161">
        <f t="shared" ca="1" si="24"/>
        <v>0</v>
      </c>
      <c r="AJ22" s="161"/>
      <c r="AK22" s="161"/>
      <c r="AL22" s="164">
        <f t="shared" ca="1" si="25"/>
        <v>0</v>
      </c>
    </row>
    <row r="23" spans="1:38" s="113" customFormat="1" ht="15.65" customHeight="1" x14ac:dyDescent="0.25">
      <c r="A23" s="249"/>
      <c r="B23" s="250"/>
      <c r="C23" s="200"/>
      <c r="D23" s="163" t="str">
        <f t="shared" si="20"/>
        <v/>
      </c>
      <c r="E23" s="150" t="str">
        <f t="shared" si="20"/>
        <v/>
      </c>
      <c r="F23" s="151" t="str">
        <f t="shared" si="20"/>
        <v/>
      </c>
      <c r="G23" s="151" t="str">
        <f t="shared" si="20"/>
        <v/>
      </c>
      <c r="H23" s="189" t="str">
        <f t="shared" si="1"/>
        <v/>
      </c>
      <c r="I23" s="192" t="str">
        <f t="shared" si="2"/>
        <v/>
      </c>
      <c r="J23" s="189" t="str">
        <f>IF($E23="","",IF($E24="",SUM(H23:H$30),H23))</f>
        <v/>
      </c>
      <c r="K23" s="192" t="str">
        <f>IF($E23="","",IF($E24="",SUM(I23:I$30),I23))</f>
        <v/>
      </c>
      <c r="L23" s="152" t="str">
        <f t="shared" si="3"/>
        <v/>
      </c>
      <c r="M23" s="151" t="str">
        <f t="shared" si="4"/>
        <v/>
      </c>
      <c r="N23" s="151" t="str">
        <f t="shared" si="5"/>
        <v/>
      </c>
      <c r="O23" s="150" t="str">
        <f t="shared" si="21"/>
        <v/>
      </c>
      <c r="P23" s="153" t="str">
        <f t="shared" si="6"/>
        <v/>
      </c>
      <c r="Q23" s="154" t="str">
        <f t="shared" si="7"/>
        <v/>
      </c>
      <c r="R23" s="155" t="str">
        <f t="shared" si="8"/>
        <v/>
      </c>
      <c r="S23" s="156" t="str">
        <f t="shared" si="9"/>
        <v/>
      </c>
      <c r="T23" s="157" t="str">
        <f t="shared" si="10"/>
        <v/>
      </c>
      <c r="U23" s="157" t="str">
        <f t="shared" si="11"/>
        <v/>
      </c>
      <c r="V23" s="158" t="str">
        <f t="shared" si="22"/>
        <v/>
      </c>
      <c r="W23" s="159" t="str">
        <f>IF(M23="","",VLOOKUP($B$6,rekenwaarden!M$8:N$12,2))</f>
        <v/>
      </c>
      <c r="X23" s="160" t="str">
        <f t="shared" si="12"/>
        <v/>
      </c>
      <c r="Y23" s="160" t="str">
        <f t="shared" si="13"/>
        <v/>
      </c>
      <c r="Z23" s="160" t="str">
        <f>IF(M23="","", VLOOKUP(B$6,rekenwaarden!M$8:T$12,3)*Q23)</f>
        <v/>
      </c>
      <c r="AA23" s="160" t="str">
        <f t="shared" si="14"/>
        <v/>
      </c>
      <c r="AB23" s="160" t="str">
        <f>IF(M23="","", VLOOKUP($B$6,rekenwaarden!M$8:T$12,4)*Q23)</f>
        <v/>
      </c>
      <c r="AC23" s="160" t="str">
        <f t="shared" si="15"/>
        <v/>
      </c>
      <c r="AD23" s="160" t="str">
        <f t="shared" si="16"/>
        <v/>
      </c>
      <c r="AE23" s="160" t="str">
        <f t="shared" si="17"/>
        <v/>
      </c>
      <c r="AF23" s="160" t="str">
        <f t="shared" si="23"/>
        <v/>
      </c>
      <c r="AG23" s="160" t="str">
        <f t="shared" si="18"/>
        <v/>
      </c>
      <c r="AH23" s="161" t="str">
        <f t="shared" ca="1" si="19"/>
        <v/>
      </c>
      <c r="AI23" s="161" t="str">
        <f t="shared" ca="1" si="24"/>
        <v/>
      </c>
      <c r="AJ23" s="161"/>
      <c r="AK23" s="161"/>
      <c r="AL23" s="164" t="str">
        <f t="shared" si="25"/>
        <v/>
      </c>
    </row>
    <row r="24" spans="1:38" s="113" customFormat="1" ht="15.65" customHeight="1" x14ac:dyDescent="0.25">
      <c r="A24" s="249"/>
      <c r="B24" s="250"/>
      <c r="C24" s="200"/>
      <c r="D24" s="163" t="str">
        <f t="shared" si="20"/>
        <v/>
      </c>
      <c r="E24" s="150" t="str">
        <f t="shared" si="20"/>
        <v/>
      </c>
      <c r="F24" s="151" t="str">
        <f t="shared" si="20"/>
        <v/>
      </c>
      <c r="G24" s="151" t="str">
        <f t="shared" si="20"/>
        <v/>
      </c>
      <c r="H24" s="188" t="str">
        <f t="shared" si="1"/>
        <v/>
      </c>
      <c r="I24" s="191" t="str">
        <f t="shared" si="2"/>
        <v/>
      </c>
      <c r="J24" s="188" t="str">
        <f>IF($E24="","",IF($E25="",SUM(H24:H$30),H24))</f>
        <v/>
      </c>
      <c r="K24" s="191" t="str">
        <f>IF($E24="","",IF($E25="",SUM(I24:I$30),I24))</f>
        <v/>
      </c>
      <c r="L24" s="152" t="str">
        <f t="shared" si="3"/>
        <v/>
      </c>
      <c r="M24" s="151" t="str">
        <f t="shared" si="4"/>
        <v/>
      </c>
      <c r="N24" s="151" t="str">
        <f t="shared" si="5"/>
        <v/>
      </c>
      <c r="O24" s="150" t="str">
        <f t="shared" si="21"/>
        <v/>
      </c>
      <c r="P24" s="153" t="str">
        <f t="shared" si="6"/>
        <v/>
      </c>
      <c r="Q24" s="154" t="str">
        <f t="shared" si="7"/>
        <v/>
      </c>
      <c r="R24" s="155" t="str">
        <f t="shared" si="8"/>
        <v/>
      </c>
      <c r="S24" s="156" t="str">
        <f t="shared" si="9"/>
        <v/>
      </c>
      <c r="T24" s="157" t="str">
        <f t="shared" si="10"/>
        <v/>
      </c>
      <c r="U24" s="157" t="str">
        <f t="shared" si="11"/>
        <v/>
      </c>
      <c r="V24" s="158" t="str">
        <f t="shared" si="22"/>
        <v/>
      </c>
      <c r="W24" s="159" t="str">
        <f>IF(M24="","",VLOOKUP($B$6,rekenwaarden!M$8:N$12,2))</f>
        <v/>
      </c>
      <c r="X24" s="160" t="str">
        <f t="shared" si="12"/>
        <v/>
      </c>
      <c r="Y24" s="160" t="str">
        <f t="shared" si="13"/>
        <v/>
      </c>
      <c r="Z24" s="160" t="str">
        <f>IF(M24="","", VLOOKUP(B$6,rekenwaarden!M$8:T$12,3)*Q24)</f>
        <v/>
      </c>
      <c r="AA24" s="160" t="str">
        <f t="shared" si="14"/>
        <v/>
      </c>
      <c r="AB24" s="160" t="str">
        <f>IF(M24="","", VLOOKUP($B$6,rekenwaarden!M$8:T$12,4)*Q24)</f>
        <v/>
      </c>
      <c r="AC24" s="160" t="str">
        <f t="shared" si="15"/>
        <v/>
      </c>
      <c r="AD24" s="160" t="str">
        <f t="shared" si="16"/>
        <v/>
      </c>
      <c r="AE24" s="160" t="str">
        <f t="shared" si="17"/>
        <v/>
      </c>
      <c r="AF24" s="160" t="str">
        <f t="shared" si="23"/>
        <v/>
      </c>
      <c r="AG24" s="160" t="str">
        <f t="shared" si="18"/>
        <v/>
      </c>
      <c r="AH24" s="161" t="str">
        <f t="shared" ca="1" si="19"/>
        <v/>
      </c>
      <c r="AI24" s="161" t="str">
        <f t="shared" ca="1" si="24"/>
        <v/>
      </c>
      <c r="AJ24" s="161"/>
      <c r="AK24" s="161"/>
      <c r="AL24" s="164" t="str">
        <f t="shared" si="25"/>
        <v/>
      </c>
    </row>
    <row r="25" spans="1:38" s="113" customFormat="1" ht="15.65" customHeight="1" x14ac:dyDescent="0.25">
      <c r="A25" s="249"/>
      <c r="B25" s="250"/>
      <c r="C25" s="200"/>
      <c r="D25" s="163" t="str">
        <f t="shared" si="20"/>
        <v/>
      </c>
      <c r="E25" s="150" t="str">
        <f t="shared" si="20"/>
        <v/>
      </c>
      <c r="F25" s="151" t="str">
        <f t="shared" si="20"/>
        <v/>
      </c>
      <c r="G25" s="151" t="str">
        <f t="shared" si="20"/>
        <v/>
      </c>
      <c r="H25" s="189" t="str">
        <f t="shared" si="1"/>
        <v/>
      </c>
      <c r="I25" s="192" t="str">
        <f t="shared" si="2"/>
        <v/>
      </c>
      <c r="J25" s="189" t="str">
        <f>IF($E25="","",IF($E26="",SUM(H25:H$30),H25))</f>
        <v/>
      </c>
      <c r="K25" s="192" t="str">
        <f>IF($E25="","",IF($E26="",SUM(I25:I$30),I25))</f>
        <v/>
      </c>
      <c r="L25" s="152" t="str">
        <f t="shared" si="3"/>
        <v/>
      </c>
      <c r="M25" s="151" t="str">
        <f t="shared" si="4"/>
        <v/>
      </c>
      <c r="N25" s="151" t="str">
        <f t="shared" si="5"/>
        <v/>
      </c>
      <c r="O25" s="150" t="str">
        <f t="shared" si="21"/>
        <v/>
      </c>
      <c r="P25" s="153" t="str">
        <f t="shared" si="6"/>
        <v/>
      </c>
      <c r="Q25" s="154" t="str">
        <f t="shared" si="7"/>
        <v/>
      </c>
      <c r="R25" s="155" t="str">
        <f t="shared" si="8"/>
        <v/>
      </c>
      <c r="S25" s="156" t="str">
        <f t="shared" si="9"/>
        <v/>
      </c>
      <c r="T25" s="157" t="str">
        <f t="shared" si="10"/>
        <v/>
      </c>
      <c r="U25" s="157" t="str">
        <f t="shared" si="11"/>
        <v/>
      </c>
      <c r="V25" s="158" t="str">
        <f t="shared" si="22"/>
        <v/>
      </c>
      <c r="W25" s="159" t="str">
        <f>IF(M25="","",VLOOKUP($B$6,rekenwaarden!M$8:N$12,2))</f>
        <v/>
      </c>
      <c r="X25" s="160" t="str">
        <f t="shared" si="12"/>
        <v/>
      </c>
      <c r="Y25" s="160" t="str">
        <f t="shared" si="13"/>
        <v/>
      </c>
      <c r="Z25" s="160" t="str">
        <f>IF(M25="","", VLOOKUP(B$6,rekenwaarden!M$8:T$12,3)*Q25)</f>
        <v/>
      </c>
      <c r="AA25" s="160" t="str">
        <f t="shared" si="14"/>
        <v/>
      </c>
      <c r="AB25" s="160" t="str">
        <f>IF(M25="","", VLOOKUP($B$6,rekenwaarden!M$8:T$12,4)*Q25)</f>
        <v/>
      </c>
      <c r="AC25" s="160" t="str">
        <f t="shared" si="15"/>
        <v/>
      </c>
      <c r="AD25" s="160" t="str">
        <f t="shared" si="16"/>
        <v/>
      </c>
      <c r="AE25" s="160" t="str">
        <f t="shared" si="17"/>
        <v/>
      </c>
      <c r="AF25" s="160" t="str">
        <f t="shared" si="23"/>
        <v/>
      </c>
      <c r="AG25" s="160" t="str">
        <f t="shared" si="18"/>
        <v/>
      </c>
      <c r="AH25" s="161" t="str">
        <f t="shared" ca="1" si="19"/>
        <v/>
      </c>
      <c r="AI25" s="161" t="str">
        <f t="shared" ca="1" si="24"/>
        <v/>
      </c>
      <c r="AJ25" s="161"/>
      <c r="AK25" s="161"/>
      <c r="AL25" s="164" t="str">
        <f t="shared" si="25"/>
        <v/>
      </c>
    </row>
    <row r="26" spans="1:38" s="113" customFormat="1" ht="15.65" customHeight="1" x14ac:dyDescent="0.25">
      <c r="A26" s="125"/>
      <c r="B26" s="126"/>
      <c r="C26" s="200"/>
      <c r="D26" s="163" t="str">
        <f t="shared" si="20"/>
        <v/>
      </c>
      <c r="E26" s="150" t="str">
        <f t="shared" si="20"/>
        <v/>
      </c>
      <c r="F26" s="151" t="str">
        <f t="shared" si="20"/>
        <v/>
      </c>
      <c r="G26" s="151" t="str">
        <f t="shared" si="20"/>
        <v/>
      </c>
      <c r="H26" s="188" t="str">
        <f t="shared" si="1"/>
        <v/>
      </c>
      <c r="I26" s="191" t="str">
        <f t="shared" si="2"/>
        <v/>
      </c>
      <c r="J26" s="188" t="str">
        <f>IF($E26="","",IF($E27="",SUM(H26:H$30),H26))</f>
        <v/>
      </c>
      <c r="K26" s="191" t="str">
        <f>IF($E26="","",IF($E27="",SUM(I26:I$30),I26))</f>
        <v/>
      </c>
      <c r="L26" s="152" t="str">
        <f t="shared" si="3"/>
        <v/>
      </c>
      <c r="M26" s="151" t="str">
        <f t="shared" si="4"/>
        <v/>
      </c>
      <c r="N26" s="151" t="str">
        <f t="shared" si="5"/>
        <v/>
      </c>
      <c r="O26" s="150" t="str">
        <f t="shared" si="21"/>
        <v/>
      </c>
      <c r="P26" s="153" t="str">
        <f t="shared" si="6"/>
        <v/>
      </c>
      <c r="Q26" s="154" t="str">
        <f t="shared" si="7"/>
        <v/>
      </c>
      <c r="R26" s="155" t="str">
        <f t="shared" si="8"/>
        <v/>
      </c>
      <c r="S26" s="156" t="str">
        <f t="shared" si="9"/>
        <v/>
      </c>
      <c r="T26" s="157" t="str">
        <f t="shared" si="10"/>
        <v/>
      </c>
      <c r="U26" s="157" t="str">
        <f t="shared" si="11"/>
        <v/>
      </c>
      <c r="V26" s="158" t="str">
        <f t="shared" si="22"/>
        <v/>
      </c>
      <c r="W26" s="159" t="str">
        <f>IF(M26="","",VLOOKUP($B$6,rekenwaarden!M$8:N$12,2))</f>
        <v/>
      </c>
      <c r="X26" s="160" t="str">
        <f t="shared" si="12"/>
        <v/>
      </c>
      <c r="Y26" s="160" t="str">
        <f t="shared" si="13"/>
        <v/>
      </c>
      <c r="Z26" s="160" t="str">
        <f>IF(M26="","", VLOOKUP(B$6,rekenwaarden!M$8:T$12,3)*Q26)</f>
        <v/>
      </c>
      <c r="AA26" s="160" t="str">
        <f t="shared" si="14"/>
        <v/>
      </c>
      <c r="AB26" s="160" t="str">
        <f>IF(M26="","", VLOOKUP($B$6,rekenwaarden!M$8:T$12,4)*Q26)</f>
        <v/>
      </c>
      <c r="AC26" s="160" t="str">
        <f t="shared" si="15"/>
        <v/>
      </c>
      <c r="AD26" s="160" t="str">
        <f t="shared" si="16"/>
        <v/>
      </c>
      <c r="AE26" s="160" t="str">
        <f t="shared" si="17"/>
        <v/>
      </c>
      <c r="AF26" s="160" t="str">
        <f t="shared" si="23"/>
        <v/>
      </c>
      <c r="AG26" s="160" t="str">
        <f t="shared" si="18"/>
        <v/>
      </c>
      <c r="AH26" s="161" t="str">
        <f t="shared" ca="1" si="19"/>
        <v/>
      </c>
      <c r="AI26" s="161" t="str">
        <f t="shared" ca="1" si="24"/>
        <v/>
      </c>
      <c r="AJ26" s="161"/>
      <c r="AK26" s="161"/>
      <c r="AL26" s="164" t="str">
        <f t="shared" si="25"/>
        <v/>
      </c>
    </row>
    <row r="27" spans="1:38" s="113" customFormat="1" ht="15.65" customHeight="1" x14ac:dyDescent="0.25">
      <c r="A27" s="125"/>
      <c r="B27" s="126"/>
      <c r="C27" s="200"/>
      <c r="D27" s="163" t="str">
        <f t="shared" si="20"/>
        <v/>
      </c>
      <c r="E27" s="150" t="str">
        <f t="shared" si="20"/>
        <v/>
      </c>
      <c r="F27" s="151" t="str">
        <f t="shared" si="20"/>
        <v/>
      </c>
      <c r="G27" s="151" t="str">
        <f t="shared" si="20"/>
        <v/>
      </c>
      <c r="H27" s="189" t="str">
        <f t="shared" si="1"/>
        <v/>
      </c>
      <c r="I27" s="192" t="str">
        <f t="shared" si="2"/>
        <v/>
      </c>
      <c r="J27" s="189" t="str">
        <f>IF($E27="","",IF($E28="",SUM(H27:H$30),H27))</f>
        <v/>
      </c>
      <c r="K27" s="192" t="str">
        <f>IF($E27="","",IF($E28="",SUM(I27:I$30),I27))</f>
        <v/>
      </c>
      <c r="L27" s="152" t="str">
        <f t="shared" si="3"/>
        <v/>
      </c>
      <c r="M27" s="151" t="str">
        <f t="shared" si="4"/>
        <v/>
      </c>
      <c r="N27" s="151" t="str">
        <f t="shared" si="5"/>
        <v/>
      </c>
      <c r="O27" s="150" t="str">
        <f t="shared" si="21"/>
        <v/>
      </c>
      <c r="P27" s="153" t="str">
        <f t="shared" si="6"/>
        <v/>
      </c>
      <c r="Q27" s="154" t="str">
        <f t="shared" si="7"/>
        <v/>
      </c>
      <c r="R27" s="155" t="str">
        <f t="shared" si="8"/>
        <v/>
      </c>
      <c r="S27" s="156" t="str">
        <f t="shared" si="9"/>
        <v/>
      </c>
      <c r="T27" s="157" t="str">
        <f t="shared" si="10"/>
        <v/>
      </c>
      <c r="U27" s="157" t="str">
        <f t="shared" si="11"/>
        <v/>
      </c>
      <c r="V27" s="158" t="str">
        <f t="shared" si="22"/>
        <v/>
      </c>
      <c r="W27" s="159" t="str">
        <f>IF(M27="","",VLOOKUP($B$6,rekenwaarden!M$8:N$12,2))</f>
        <v/>
      </c>
      <c r="X27" s="160" t="str">
        <f t="shared" si="12"/>
        <v/>
      </c>
      <c r="Y27" s="160" t="str">
        <f t="shared" si="13"/>
        <v/>
      </c>
      <c r="Z27" s="160" t="str">
        <f>IF(M27="","", VLOOKUP(B$6,rekenwaarden!M$8:T$12,3)*Q27)</f>
        <v/>
      </c>
      <c r="AA27" s="160" t="str">
        <f t="shared" si="14"/>
        <v/>
      </c>
      <c r="AB27" s="160" t="str">
        <f>IF(M27="","", VLOOKUP($B$6,rekenwaarden!M$8:T$12,4)*Q27)</f>
        <v/>
      </c>
      <c r="AC27" s="160" t="str">
        <f t="shared" si="15"/>
        <v/>
      </c>
      <c r="AD27" s="160" t="str">
        <f t="shared" si="16"/>
        <v/>
      </c>
      <c r="AE27" s="160" t="str">
        <f t="shared" si="17"/>
        <v/>
      </c>
      <c r="AF27" s="160" t="str">
        <f t="shared" si="23"/>
        <v/>
      </c>
      <c r="AG27" s="160" t="str">
        <f t="shared" si="18"/>
        <v/>
      </c>
      <c r="AH27" s="161" t="str">
        <f t="shared" ca="1" si="19"/>
        <v/>
      </c>
      <c r="AI27" s="161" t="str">
        <f t="shared" ca="1" si="24"/>
        <v/>
      </c>
      <c r="AJ27" s="161"/>
      <c r="AK27" s="161"/>
      <c r="AL27" s="164" t="str">
        <f t="shared" si="25"/>
        <v/>
      </c>
    </row>
    <row r="28" spans="1:38" s="113" customFormat="1" ht="15.65" customHeight="1" x14ac:dyDescent="0.25">
      <c r="A28" s="125"/>
      <c r="B28" s="126"/>
      <c r="C28" s="200"/>
      <c r="D28" s="163" t="str">
        <f t="shared" si="20"/>
        <v/>
      </c>
      <c r="E28" s="150" t="str">
        <f t="shared" si="20"/>
        <v/>
      </c>
      <c r="F28" s="151" t="str">
        <f t="shared" si="20"/>
        <v/>
      </c>
      <c r="G28" s="151" t="str">
        <f t="shared" si="20"/>
        <v/>
      </c>
      <c r="H28" s="188" t="str">
        <f t="shared" si="1"/>
        <v/>
      </c>
      <c r="I28" s="191" t="str">
        <f t="shared" si="2"/>
        <v/>
      </c>
      <c r="J28" s="188" t="str">
        <f>IF($E28="","",IF($E29="",SUM(H28:H$30),H28))</f>
        <v/>
      </c>
      <c r="K28" s="191" t="str">
        <f>IF($E28="","",IF($E29="",SUM(I28:I$30),I28))</f>
        <v/>
      </c>
      <c r="L28" s="152" t="str">
        <f t="shared" si="3"/>
        <v/>
      </c>
      <c r="M28" s="151" t="str">
        <f t="shared" si="4"/>
        <v/>
      </c>
      <c r="N28" s="151" t="str">
        <f t="shared" si="5"/>
        <v/>
      </c>
      <c r="O28" s="150" t="str">
        <f t="shared" si="21"/>
        <v/>
      </c>
      <c r="P28" s="153" t="str">
        <f t="shared" si="6"/>
        <v/>
      </c>
      <c r="Q28" s="154" t="str">
        <f t="shared" si="7"/>
        <v/>
      </c>
      <c r="R28" s="155" t="str">
        <f t="shared" si="8"/>
        <v/>
      </c>
      <c r="S28" s="156" t="str">
        <f t="shared" si="9"/>
        <v/>
      </c>
      <c r="T28" s="157" t="str">
        <f t="shared" si="10"/>
        <v/>
      </c>
      <c r="U28" s="157" t="str">
        <f t="shared" si="11"/>
        <v/>
      </c>
      <c r="V28" s="158" t="str">
        <f t="shared" si="22"/>
        <v/>
      </c>
      <c r="W28" s="159" t="str">
        <f>IF(M28="","",VLOOKUP($B$6,rekenwaarden!M$8:N$12,2))</f>
        <v/>
      </c>
      <c r="X28" s="160" t="str">
        <f t="shared" si="12"/>
        <v/>
      </c>
      <c r="Y28" s="160" t="str">
        <f t="shared" si="13"/>
        <v/>
      </c>
      <c r="Z28" s="160" t="str">
        <f>IF(M28="","", VLOOKUP(B$6,rekenwaarden!M$8:T$12,3)*Q28)</f>
        <v/>
      </c>
      <c r="AA28" s="160" t="str">
        <f t="shared" si="14"/>
        <v/>
      </c>
      <c r="AB28" s="160" t="str">
        <f>IF(M28="","", VLOOKUP($B$6,rekenwaarden!M$8:T$12,4)*Q28)</f>
        <v/>
      </c>
      <c r="AC28" s="160" t="str">
        <f t="shared" si="15"/>
        <v/>
      </c>
      <c r="AD28" s="160" t="str">
        <f t="shared" si="16"/>
        <v/>
      </c>
      <c r="AE28" s="160" t="str">
        <f t="shared" si="17"/>
        <v/>
      </c>
      <c r="AF28" s="160" t="str">
        <f t="shared" si="23"/>
        <v/>
      </c>
      <c r="AG28" s="160" t="str">
        <f t="shared" si="18"/>
        <v/>
      </c>
      <c r="AH28" s="161" t="str">
        <f t="shared" ca="1" si="19"/>
        <v/>
      </c>
      <c r="AI28" s="161" t="str">
        <f t="shared" ca="1" si="24"/>
        <v/>
      </c>
      <c r="AJ28" s="161"/>
      <c r="AK28" s="161"/>
      <c r="AL28" s="164" t="str">
        <f t="shared" si="25"/>
        <v/>
      </c>
    </row>
    <row r="29" spans="1:38" s="113" customFormat="1" ht="15.65" customHeight="1" x14ac:dyDescent="0.25">
      <c r="A29" s="125"/>
      <c r="B29" s="126"/>
      <c r="C29" s="200"/>
      <c r="D29" s="163" t="str">
        <f t="shared" si="20"/>
        <v/>
      </c>
      <c r="E29" s="150" t="str">
        <f t="shared" si="20"/>
        <v/>
      </c>
      <c r="F29" s="151" t="str">
        <f t="shared" si="20"/>
        <v/>
      </c>
      <c r="G29" s="151" t="str">
        <f t="shared" si="20"/>
        <v/>
      </c>
      <c r="H29" s="189" t="str">
        <f t="shared" si="1"/>
        <v/>
      </c>
      <c r="I29" s="192" t="str">
        <f t="shared" si="2"/>
        <v/>
      </c>
      <c r="J29" s="189" t="str">
        <f>IF($E29="","",IF($E30="",SUM(H29:H$30),H29))</f>
        <v/>
      </c>
      <c r="K29" s="192" t="str">
        <f>IF($E29="","",IF($E30="",SUM(I29:I$30),I29))</f>
        <v/>
      </c>
      <c r="L29" s="152" t="str">
        <f t="shared" si="3"/>
        <v/>
      </c>
      <c r="M29" s="151" t="str">
        <f t="shared" si="4"/>
        <v/>
      </c>
      <c r="N29" s="151" t="str">
        <f t="shared" si="5"/>
        <v/>
      </c>
      <c r="O29" s="150" t="str">
        <f t="shared" si="21"/>
        <v/>
      </c>
      <c r="P29" s="153" t="str">
        <f t="shared" si="6"/>
        <v/>
      </c>
      <c r="Q29" s="154" t="str">
        <f t="shared" si="7"/>
        <v/>
      </c>
      <c r="R29" s="155" t="str">
        <f t="shared" si="8"/>
        <v/>
      </c>
      <c r="S29" s="156" t="str">
        <f t="shared" si="9"/>
        <v/>
      </c>
      <c r="T29" s="157" t="str">
        <f t="shared" si="10"/>
        <v/>
      </c>
      <c r="U29" s="157" t="str">
        <f t="shared" si="11"/>
        <v/>
      </c>
      <c r="V29" s="158" t="str">
        <f t="shared" si="22"/>
        <v/>
      </c>
      <c r="W29" s="159" t="str">
        <f>IF(M29="","",VLOOKUP($B$6,rekenwaarden!M$8:N$12,2))</f>
        <v/>
      </c>
      <c r="X29" s="160" t="str">
        <f t="shared" si="12"/>
        <v/>
      </c>
      <c r="Y29" s="160" t="str">
        <f t="shared" si="13"/>
        <v/>
      </c>
      <c r="Z29" s="160" t="str">
        <f>IF(M29="","", VLOOKUP(B$6,rekenwaarden!M$8:T$12,3)*Q29)</f>
        <v/>
      </c>
      <c r="AA29" s="160" t="str">
        <f t="shared" si="14"/>
        <v/>
      </c>
      <c r="AB29" s="160" t="str">
        <f>IF(M29="","", VLOOKUP($B$6,rekenwaarden!M$8:T$12,4)*Q29)</f>
        <v/>
      </c>
      <c r="AC29" s="160" t="str">
        <f t="shared" si="15"/>
        <v/>
      </c>
      <c r="AD29" s="160" t="str">
        <f t="shared" si="16"/>
        <v/>
      </c>
      <c r="AE29" s="160" t="str">
        <f t="shared" si="17"/>
        <v/>
      </c>
      <c r="AF29" s="160" t="str">
        <f t="shared" si="23"/>
        <v/>
      </c>
      <c r="AG29" s="160" t="str">
        <f t="shared" si="18"/>
        <v/>
      </c>
      <c r="AH29" s="161" t="str">
        <f t="shared" ca="1" si="19"/>
        <v/>
      </c>
      <c r="AI29" s="161" t="str">
        <f t="shared" ca="1" si="24"/>
        <v/>
      </c>
      <c r="AJ29" s="161"/>
      <c r="AK29" s="161"/>
      <c r="AL29" s="164" t="str">
        <f t="shared" si="25"/>
        <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sheetData>
  <sheetProtection algorithmName="SHA-512" hashValue="LFNhsCvdPAfSI7v5ruXHteoGlN3Q2Nhr0ij23bQfB9Y+xwwycNLgd5d49hCj1trhv6KxnwLVMM493sa7ffQHfg==" saltValue="6EPS5n1vqxlZoENSZC8t+w==" spinCount="100000" sheet="1" objects="1" scenarios="1"/>
  <protectedRanges>
    <protectedRange sqref="K2:U14" name="Loonaangiftebericht"/>
    <protectedRange sqref="B1:B9" name="Persoon en IKV"/>
  </protectedRanges>
  <mergeCells count="3">
    <mergeCell ref="A11:B11"/>
    <mergeCell ref="A12:B25"/>
    <mergeCell ref="D17:E17"/>
  </mergeCells>
  <dataValidations count="8">
    <dataValidation type="whole" allowBlank="1" showInputMessage="1" showErrorMessage="1" promptTitle="Handboek Loonheffingen: " prompt="Rekenkundig afgeronde hele uren" sqref="N2:N14" xr:uid="{CA0354DA-A7A2-4034-A1AF-744B2487B4BF}">
      <formula1>-999</formula1>
      <formula2>999</formula2>
    </dataValidation>
    <dataValidation type="list" allowBlank="1" showInputMessage="1" showErrorMessage="1" sqref="K2:K14" xr:uid="{714BB96F-B5CF-46E2-A201-84D81BDDA69B}">
      <formula1>Code_Reden_Einde_Arbeidsverhouding</formula1>
    </dataValidation>
    <dataValidation type="list" allowBlank="1" showInputMessage="1" showErrorMessage="1" sqref="M2:M14" xr:uid="{E13083E9-6AAB-4DB3-A597-2B3F726A7A82}">
      <formula1>Code_Aard_Arbeidsverhouding</formula1>
    </dataValidation>
    <dataValidation type="list" allowBlank="1" showInputMessage="1" showErrorMessage="1" sqref="L2:L14" xr:uid="{23DBB468-8DD2-43B2-A7E8-0F85E9BDEA32}">
      <formula1>Code_Soort_IKV</formula1>
    </dataValidation>
    <dataValidation type="list" allowBlank="1" showInputMessage="1" showErrorMessage="1" sqref="C2" xr:uid="{8F8D2A54-7140-465E-B58E-CA62BAD07DFE}">
      <formula1>"maandelijks,vierwekelijks"</formula1>
    </dataValidation>
    <dataValidation type="list" allowBlank="1" showInputMessage="1" showErrorMessage="1" sqref="B1:C1" xr:uid="{ED16820D-92D1-4491-9437-1B8DCFDE57EB}">
      <formula1>"2027,2028"</formula1>
    </dataValidation>
    <dataValidation type="list" allowBlank="1" showInputMessage="1" showErrorMessage="1" sqref="B8:C8" xr:uid="{E2200EA7-43E7-444D-AD6C-F1F6F0D9C2DF}">
      <formula1>"WAAR,NIET WAAR"</formula1>
    </dataValidation>
    <dataValidation type="list" allowBlank="1" showInputMessage="1" showErrorMessage="1" sqref="B2" xr:uid="{6F5C1B87-FEEF-4B13-AE13-E36073ADB5D8}">
      <formula1>"Maandelijks,Vierwekelijks"</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846248EA-366C-40B8-8F9D-CAFF46D717F4}">
          <x14:formula1>
            <xm:f>rekenwaarden!$M$8:$M$12</xm:f>
          </x14:formula1>
          <xm:sqref>B6:C6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06C41-A7F0-417F-9657-7BA7A9DA4963}">
  <sheetPr>
    <tabColor theme="4" tint="0.59999389629810485"/>
  </sheetPr>
  <dimension ref="A1:AL30"/>
  <sheetViews>
    <sheetView showGridLines="0" zoomScale="90" zoomScaleNormal="90" workbookViewId="0">
      <pane xSplit="2" ySplit="30" topLeftCell="M31" activePane="bottomRight" state="frozen"/>
      <selection activeCell="F20" sqref="F20"/>
      <selection pane="topRight" activeCell="F20" sqref="F20"/>
      <selection pane="bottomLeft" activeCell="F20" sqref="F20"/>
      <selection pane="bottomRight" activeCell="F20" sqref="F20"/>
    </sheetView>
  </sheetViews>
  <sheetFormatPr defaultRowHeight="12.5" x14ac:dyDescent="0.25"/>
  <cols>
    <col min="1" max="1" width="34" customWidth="1"/>
    <col min="2" max="2" width="24.1796875" customWidth="1"/>
    <col min="3" max="3" width="2.81640625" customWidth="1"/>
    <col min="4" max="4" width="10.453125" customWidth="1"/>
    <col min="5" max="5" width="11.1796875" style="1" customWidth="1"/>
    <col min="6" max="6" width="14.81640625" customWidth="1"/>
    <col min="7" max="7" width="14.1796875" customWidth="1"/>
    <col min="8" max="8" width="12.81640625" customWidth="1"/>
    <col min="9" max="10" width="13.453125" customWidth="1"/>
    <col min="11" max="11" width="16.1796875" customWidth="1"/>
    <col min="12" max="12" width="10.81640625" customWidth="1"/>
    <col min="13" max="13" width="11" customWidth="1"/>
    <col min="14" max="14" width="12" customWidth="1"/>
    <col min="15" max="15" width="12.54296875" customWidth="1"/>
    <col min="16" max="16" width="13.81640625" customWidth="1"/>
    <col min="17" max="17" width="15.81640625" customWidth="1"/>
    <col min="18" max="18" width="14.453125" customWidth="1"/>
    <col min="19" max="20" width="15.81640625" customWidth="1"/>
    <col min="21" max="21" width="18.1796875" customWidth="1"/>
    <col min="22" max="33" width="15.81640625" customWidth="1"/>
    <col min="34" max="34" width="19.453125" bestFit="1" customWidth="1"/>
    <col min="35" max="35" width="20.453125" customWidth="1"/>
    <col min="36" max="36" width="12.81640625" bestFit="1" customWidth="1"/>
    <col min="38" max="38" width="13" customWidth="1"/>
  </cols>
  <sheetData>
    <row r="1" spans="1:38" s="113" customFormat="1" ht="29.15" customHeight="1" x14ac:dyDescent="0.25">
      <c r="A1" s="122" t="s">
        <v>0</v>
      </c>
      <c r="B1" s="131">
        <v>2027</v>
      </c>
      <c r="C1" s="201"/>
      <c r="D1" s="123" t="s">
        <v>1</v>
      </c>
      <c r="E1" s="124" t="s">
        <v>59</v>
      </c>
      <c r="F1" s="123" t="s">
        <v>3</v>
      </c>
      <c r="G1" s="123" t="s">
        <v>4</v>
      </c>
      <c r="H1" s="124" t="s">
        <v>5</v>
      </c>
      <c r="I1" s="124" t="s">
        <v>6</v>
      </c>
      <c r="J1" s="124" t="s">
        <v>7</v>
      </c>
      <c r="K1" s="124" t="s">
        <v>8</v>
      </c>
      <c r="L1" s="124" t="s">
        <v>9</v>
      </c>
      <c r="M1" s="124" t="s">
        <v>10</v>
      </c>
      <c r="N1" s="124" t="s">
        <v>11</v>
      </c>
      <c r="O1" s="124" t="s">
        <v>12</v>
      </c>
      <c r="P1" s="124" t="s">
        <v>13</v>
      </c>
      <c r="Q1" s="124" t="s">
        <v>14</v>
      </c>
      <c r="R1" s="124" t="s">
        <v>15</v>
      </c>
      <c r="S1" s="124" t="s">
        <v>16</v>
      </c>
      <c r="T1" s="124" t="s">
        <v>17</v>
      </c>
      <c r="U1" s="124" t="s">
        <v>60</v>
      </c>
      <c r="V1" s="210" t="s">
        <v>18</v>
      </c>
      <c r="W1" s="211" t="s">
        <v>71</v>
      </c>
      <c r="X1" s="120" t="s">
        <v>62</v>
      </c>
      <c r="Y1" s="120" t="s">
        <v>63</v>
      </c>
    </row>
    <row r="2" spans="1:38" s="113" customFormat="1" ht="16.399999999999999" customHeight="1" x14ac:dyDescent="0.25">
      <c r="A2" s="122" t="s">
        <v>19</v>
      </c>
      <c r="B2" s="132" t="s">
        <v>64</v>
      </c>
      <c r="C2" s="201"/>
      <c r="D2" s="144">
        <f>IF(AND($B$2="Maandelijks", COUNTIF($D$1:D1, 12)&gt;1), "",IF(OR(AND($B$2="Maandelijks", D1=12),AND($B$2="Vierwekelijks", D1=13), D1 = "Periode"), 1, A13+1))</f>
        <v>1</v>
      </c>
      <c r="E2" s="145" t="str">
        <f>IF(OR(Datum_Einde_IKV="",Tabel135314[[#This Row],[DatAanvTv]]&lt;Datum_Einde_IKV),IF(E1="december","",IF(Verloningsperiodiciteit="maandelijks",rekenwaarden!F3,_xlfn.CONCAT("Periode ",rekenwaarden!E3))),"")</f>
        <v>januari</v>
      </c>
      <c r="F2" s="146">
        <f>IF(Datum_Aanvang_IKV="","",VLOOKUP(MAX(Datum_Aanvang_IKV,DATE($B$1,1,1)),IF(Verloningsperiodiciteit="Vierwekelijks",rekenwaarden!C3:C55,rekenwaarden!I3:I50),1,TRUE))</f>
        <v>46388</v>
      </c>
      <c r="G2" s="146">
        <f>IF(F2="", "", IF(Verloningsperiodiciteit="Vierwekelijks", _xlfn.XLOOKUP(F2,rekenwaarden!$C$3:$C$54,rekenwaarden!$D$3:$D$54,"niet gevonden",-1), _xlfn.XLOOKUP(F2,rekenwaarden!$I$3:$I$54,rekenwaarden!$J$3:$J$54,"niet gevonden",-1)))</f>
        <v>46418</v>
      </c>
      <c r="H2" s="147">
        <f>IF(Tabel135314[[#This Row],[Inkomsten-periode]]="","",DATEDIF(Geboortedatum,Tabel135314[[#This Row],[DatEindTv]],"Y"))</f>
        <v>56</v>
      </c>
      <c r="I2" s="146">
        <f>IF(Tabel135314[[#This Row],[Inkomsten-periode]]="","",IF(Datum_Aanvang_IKV="","",Datum_Aanvang_IKV))</f>
        <v>46143</v>
      </c>
      <c r="J2" s="146" t="str">
        <f>IF(Tabel135314[[#This Row],[Inkomsten-periode]]="","",IF(Datum_Einde_IKV="","",IF(Datum_Einde_IKV&lt;=Tabel135314[[#This Row],[DatEindTv]],Datum_Einde_IKV,"")))</f>
        <v/>
      </c>
      <c r="K2" s="138"/>
      <c r="L2" s="138">
        <v>15</v>
      </c>
      <c r="M2" s="138">
        <v>1</v>
      </c>
      <c r="N2" s="139">
        <v>173</v>
      </c>
      <c r="O2" s="140">
        <v>4000</v>
      </c>
      <c r="P2" s="140">
        <v>0</v>
      </c>
      <c r="Q2" s="140">
        <v>320</v>
      </c>
      <c r="R2" s="140">
        <v>0</v>
      </c>
      <c r="S2" s="140">
        <v>300</v>
      </c>
      <c r="T2" s="140">
        <v>4000</v>
      </c>
      <c r="U2" s="140"/>
      <c r="V2" s="184">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Row],[OpnAvwb]],0))))</f>
        <v>4620</v>
      </c>
      <c r="W2" s="185">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Row],[AantVerlU]],0))))</f>
        <v>173</v>
      </c>
      <c r="X2" s="184"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f>
        <v/>
      </c>
      <c r="Y2" s="185"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Row],[AantVerlU]],"")),"")</f>
        <v/>
      </c>
    </row>
    <row r="3" spans="1:38" s="113" customFormat="1" ht="16.399999999999999" customHeight="1" x14ac:dyDescent="0.25">
      <c r="A3" s="122" t="s">
        <v>21</v>
      </c>
      <c r="B3" s="133">
        <v>25785</v>
      </c>
      <c r="C3" s="202"/>
      <c r="D3" s="145">
        <f>IF(OR(Datum_Einde_IKV&gt;G2,Datum_Einde_IKV=""),IF(AND($B$2="Maandelijks", COUNTIF($D$1:D2, 12)=1), "",IF(OR(AND($B$2="Maandelijks", D2=12),AND($B$2="Vierwekelijks", D2=13), D2 = "Periode"), 1, D2+1)),"")</f>
        <v>2</v>
      </c>
      <c r="E3" s="145" t="str">
        <f>IF(OR(Datum_Einde_IKV="",Tabel135314[[#This Row],[DatAanvTv]]&lt;Datum_Einde_IKV),IF(E2="december","",IF(Verloningsperiodiciteit="maandelijks",rekenwaarden!F4,_xlfn.CONCAT("Periode ",rekenwaarden!E4))),"")</f>
        <v>februari</v>
      </c>
      <c r="F3" s="146">
        <f t="shared" ref="F3:F14" si="0">IF(OR(G2="",D3="",IF(Datum_Einde_IKV&lt;&gt;"",G2&gt;=Datum_Einde_IKV,"")),"",G2+1)</f>
        <v>46419</v>
      </c>
      <c r="G3" s="146">
        <f>IF(F3="", "", IF(Verloningsperiodiciteit="Vierwekelijks", _xlfn.XLOOKUP(F3,rekenwaarden!$C$3:$C$54,rekenwaarden!$D$3:$D$54,"niet gevonden",-1), _xlfn.XLOOKUP(F3,rekenwaarden!$I$3:$I$54,rekenwaarden!$J$3:$J$54,"niet gevonden",-1)))</f>
        <v>46446</v>
      </c>
      <c r="H3" s="147">
        <f>IF(Tabel135314[[#This Row],[Inkomsten-periode]]="","",DATEDIF(Geboortedatum,Tabel135314[[#This Row],[DatEindTv]],"Y"))</f>
        <v>56</v>
      </c>
      <c r="I3" s="146">
        <f>IF(Tabel135314[[#This Row],[Inkomsten-periode]]="","",IF(Datum_Aanvang_IKV="","",Datum_Aanvang_IKV))</f>
        <v>46143</v>
      </c>
      <c r="J3" s="146" t="str">
        <f>IF(Tabel135314[[#This Row],[Inkomsten-periode]]="","",IF(Datum_Einde_IKV="","",IF(Datum_Einde_IKV&lt;=Tabel135314[[#This Row],[DatEindTv]],Datum_Einde_IKV,"")))</f>
        <v/>
      </c>
      <c r="K3" s="141"/>
      <c r="L3" s="141">
        <v>15</v>
      </c>
      <c r="M3" s="141">
        <v>1</v>
      </c>
      <c r="N3" s="142">
        <v>173</v>
      </c>
      <c r="O3" s="143">
        <v>4000</v>
      </c>
      <c r="P3" s="143">
        <v>0</v>
      </c>
      <c r="Q3" s="143">
        <v>320</v>
      </c>
      <c r="R3" s="143">
        <v>0</v>
      </c>
      <c r="S3" s="143">
        <v>300</v>
      </c>
      <c r="T3" s="143">
        <v>4000</v>
      </c>
      <c r="U3" s="143"/>
      <c r="V3" s="184">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Row],[OpnAvwb]],0))))</f>
        <v>4620</v>
      </c>
      <c r="W3" s="186">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Row],[AantVerlU]],0))))</f>
        <v>173</v>
      </c>
      <c r="X3" s="184"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f>
        <v/>
      </c>
      <c r="Y3" s="186"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Row],[AantVerlU]],"")),"")</f>
        <v/>
      </c>
    </row>
    <row r="4" spans="1:38" s="113" customFormat="1" ht="16.399999999999999" customHeight="1" x14ac:dyDescent="0.25">
      <c r="A4" s="122" t="s">
        <v>22</v>
      </c>
      <c r="B4" s="134">
        <v>46143</v>
      </c>
      <c r="C4" s="202"/>
      <c r="D4" s="144">
        <f>IF(OR(Datum_Einde_IKV&gt;G3,Datum_Einde_IKV=""),IF(AND($B$2="Maandelijks", COUNTIF($D$1:D3, 12)=1), "",IF(OR(AND($B$2="Maandelijks", D3=12),AND($B$2="Vierwekelijks", D3=13), D3 = "Periode"), 1, D3+1)),"")</f>
        <v>3</v>
      </c>
      <c r="E4" s="145" t="str">
        <f>IF(OR(Datum_Einde_IKV="",Tabel135314[[#This Row],[DatAanvTv]]&lt;Datum_Einde_IKV),IF(E3="december","",IF(Verloningsperiodiciteit="maandelijks",rekenwaarden!F5,_xlfn.CONCAT("Periode ",rekenwaarden!E5))),"")</f>
        <v>maart</v>
      </c>
      <c r="F4" s="146">
        <f t="shared" si="0"/>
        <v>46447</v>
      </c>
      <c r="G4" s="146">
        <f>IF(F4="", "", IF(Verloningsperiodiciteit="Vierwekelijks", _xlfn.XLOOKUP(F4,rekenwaarden!$C$3:$C$54,rekenwaarden!$D$3:$D$54,"niet gevonden",-1), _xlfn.XLOOKUP(F4,rekenwaarden!$I$3:$I$54,rekenwaarden!$J$3:$J$54,"niet gevonden",-1)))</f>
        <v>46477</v>
      </c>
      <c r="H4" s="147">
        <f>IF(Tabel135314[[#This Row],[Inkomsten-periode]]="","",DATEDIF(Geboortedatum,Tabel135314[[#This Row],[DatEindTv]],"Y"))</f>
        <v>56</v>
      </c>
      <c r="I4" s="146">
        <f>IF(Tabel135314[[#This Row],[Inkomsten-periode]]="","",IF(Datum_Aanvang_IKV="","",Datum_Aanvang_IKV))</f>
        <v>46143</v>
      </c>
      <c r="J4" s="146" t="str">
        <f>IF(Tabel135314[[#This Row],[Inkomsten-periode]]="","",IF(Datum_Einde_IKV="","",IF(Datum_Einde_IKV&lt;=Tabel135314[[#This Row],[DatEindTv]],Datum_Einde_IKV,"")))</f>
        <v/>
      </c>
      <c r="K4" s="138"/>
      <c r="L4" s="138">
        <v>15</v>
      </c>
      <c r="M4" s="138">
        <v>1</v>
      </c>
      <c r="N4" s="139">
        <v>173</v>
      </c>
      <c r="O4" s="140">
        <v>4000</v>
      </c>
      <c r="P4" s="140">
        <v>0</v>
      </c>
      <c r="Q4" s="140">
        <v>320</v>
      </c>
      <c r="R4" s="140">
        <v>0</v>
      </c>
      <c r="S4" s="140">
        <v>300</v>
      </c>
      <c r="T4" s="140">
        <v>4000</v>
      </c>
      <c r="U4" s="140"/>
      <c r="V4" s="184">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Row],[OpnAvwb]],0))))</f>
        <v>4620</v>
      </c>
      <c r="W4" s="186">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Row],[AantVerlU]],0))))</f>
        <v>173</v>
      </c>
      <c r="X4" s="184"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f>
        <v/>
      </c>
      <c r="Y4" s="186"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Row],[AantVerlU]],"")),"")</f>
        <v/>
      </c>
    </row>
    <row r="5" spans="1:38" s="113" customFormat="1" ht="16.399999999999999" customHeight="1" x14ac:dyDescent="0.25">
      <c r="A5" s="122" t="s">
        <v>23</v>
      </c>
      <c r="B5" s="133">
        <v>46609</v>
      </c>
      <c r="C5" s="202"/>
      <c r="D5" s="145">
        <f>IF(OR(Datum_Einde_IKV&gt;G4,Datum_Einde_IKV=""),IF(AND($B$2="Maandelijks", COUNTIF($D$1:D4, 12)=1), "",IF(OR(AND($B$2="Maandelijks", D4=12),AND($B$2="Vierwekelijks", D4=13), D4 = "Periode"), 1, D4+1)),"")</f>
        <v>4</v>
      </c>
      <c r="E5" s="145" t="str">
        <f>IF(OR(Datum_Einde_IKV="",Tabel135314[[#This Row],[DatAanvTv]]&lt;Datum_Einde_IKV),IF(E4="december","",IF(Verloningsperiodiciteit="maandelijks",rekenwaarden!F6,_xlfn.CONCAT("Periode ",rekenwaarden!E6))),"")</f>
        <v>april</v>
      </c>
      <c r="F5" s="146">
        <f t="shared" si="0"/>
        <v>46478</v>
      </c>
      <c r="G5" s="146">
        <f>IF(F5="", "", IF(Verloningsperiodiciteit="Vierwekelijks", _xlfn.XLOOKUP(F5,rekenwaarden!$C$3:$C$54,rekenwaarden!$D$3:$D$54,"niet gevonden",-1), _xlfn.XLOOKUP(F5,rekenwaarden!$I$3:$I$54,rekenwaarden!$J$3:$J$54,"niet gevonden",-1)))</f>
        <v>46507</v>
      </c>
      <c r="H5" s="147">
        <f>IF(Tabel135314[[#This Row],[Inkomsten-periode]]="","",DATEDIF(Geboortedatum,Tabel135314[[#This Row],[DatEindTv]],"Y"))</f>
        <v>56</v>
      </c>
      <c r="I5" s="146">
        <f>IF(Tabel135314[[#This Row],[Inkomsten-periode]]="","",IF(Datum_Aanvang_IKV="","",Datum_Aanvang_IKV))</f>
        <v>46143</v>
      </c>
      <c r="J5" s="146" t="str">
        <f>IF(Tabel135314[[#This Row],[Inkomsten-periode]]="","",IF(Datum_Einde_IKV="","",IF(Datum_Einde_IKV&lt;=Tabel135314[[#This Row],[DatEindTv]],Datum_Einde_IKV,"")))</f>
        <v/>
      </c>
      <c r="K5" s="141"/>
      <c r="L5" s="141">
        <v>15</v>
      </c>
      <c r="M5" s="141">
        <v>1</v>
      </c>
      <c r="N5" s="142">
        <v>173</v>
      </c>
      <c r="O5" s="143">
        <v>4000</v>
      </c>
      <c r="P5" s="143">
        <v>0</v>
      </c>
      <c r="Q5" s="143">
        <v>320</v>
      </c>
      <c r="R5" s="143">
        <v>0</v>
      </c>
      <c r="S5" s="143">
        <v>300</v>
      </c>
      <c r="T5" s="143">
        <v>4000</v>
      </c>
      <c r="U5" s="143"/>
      <c r="V5" s="184">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Row],[OpnAvwb]],0))))</f>
        <v>4620</v>
      </c>
      <c r="W5" s="186">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Row],[AantVerlU]],0))))</f>
        <v>173</v>
      </c>
      <c r="X5" s="184"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f>
        <v/>
      </c>
      <c r="Y5" s="186"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Row],[AantVerlU]],"")),"")</f>
        <v/>
      </c>
    </row>
    <row r="6" spans="1:38" s="113" customFormat="1" ht="16.399999999999999" customHeight="1" x14ac:dyDescent="0.25">
      <c r="A6" s="122" t="s">
        <v>24</v>
      </c>
      <c r="B6" s="135" t="s">
        <v>172</v>
      </c>
      <c r="C6" s="203"/>
      <c r="D6" s="144">
        <f>IF(OR(Datum_Einde_IKV&gt;G5,Datum_Einde_IKV=""),IF(AND($B$2="Maandelijks", COUNTIF($D$1:D5, 12)=1), "",IF(OR(AND($B$2="Maandelijks", D5=12),AND($B$2="Vierwekelijks", D5=13), D5 = "Periode"), 1, D5+1)),"")</f>
        <v>5</v>
      </c>
      <c r="E6" s="145" t="str">
        <f>IF(OR(Datum_Einde_IKV="",Tabel135314[[#This Row],[DatAanvTv]]&lt;Datum_Einde_IKV),IF(E5="december","",IF(Verloningsperiodiciteit="maandelijks",rekenwaarden!F7,_xlfn.CONCAT("Periode ",rekenwaarden!E7))),"")</f>
        <v>mei</v>
      </c>
      <c r="F6" s="146">
        <f t="shared" si="0"/>
        <v>46508</v>
      </c>
      <c r="G6" s="146">
        <f>IF(F6="", "", IF(Verloningsperiodiciteit="Vierwekelijks", _xlfn.XLOOKUP(F6,rekenwaarden!$C$3:$C$54,rekenwaarden!$D$3:$D$54,"niet gevonden",-1), _xlfn.XLOOKUP(F6,rekenwaarden!$I$3:$I$54,rekenwaarden!$J$3:$J$54,"niet gevonden",-1)))</f>
        <v>46538</v>
      </c>
      <c r="H6" s="147">
        <f>IF(Tabel135314[[#This Row],[Inkomsten-periode]]="","",DATEDIF(Geboortedatum,Tabel135314[[#This Row],[DatEindTv]],"Y"))</f>
        <v>56</v>
      </c>
      <c r="I6" s="146">
        <f>IF(Tabel135314[[#This Row],[Inkomsten-periode]]="","",IF(Datum_Aanvang_IKV="","",Datum_Aanvang_IKV))</f>
        <v>46143</v>
      </c>
      <c r="J6" s="146" t="str">
        <f>IF(Tabel135314[[#This Row],[Inkomsten-periode]]="","",IF(Datum_Einde_IKV="","",IF(Datum_Einde_IKV&lt;=Tabel135314[[#This Row],[DatEindTv]],Datum_Einde_IKV,"")))</f>
        <v/>
      </c>
      <c r="K6" s="138"/>
      <c r="L6" s="138">
        <v>15</v>
      </c>
      <c r="M6" s="138">
        <v>1</v>
      </c>
      <c r="N6" s="139">
        <v>173</v>
      </c>
      <c r="O6" s="140">
        <v>8800</v>
      </c>
      <c r="P6" s="140">
        <v>3800</v>
      </c>
      <c r="Q6" s="140">
        <v>320</v>
      </c>
      <c r="R6" s="140">
        <v>1000</v>
      </c>
      <c r="S6" s="140">
        <v>300</v>
      </c>
      <c r="T6" s="140">
        <v>8800</v>
      </c>
      <c r="U6" s="140"/>
      <c r="V6" s="184">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Row],[OpnAvwb]],0))))</f>
        <v>4620</v>
      </c>
      <c r="W6" s="186">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Row],[AantVerlU]],0))))</f>
        <v>173</v>
      </c>
      <c r="X6" s="184"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f>
        <v/>
      </c>
      <c r="Y6" s="186"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Row],[AantVerlU]],"")),"")</f>
        <v/>
      </c>
    </row>
    <row r="7" spans="1:38" s="113" customFormat="1" ht="16.399999999999999" customHeight="1" x14ac:dyDescent="0.25">
      <c r="A7" s="122" t="s">
        <v>26</v>
      </c>
      <c r="B7" s="136">
        <f>VLOOKUP(B6,rekenwaarden!M8:T12,8)</f>
        <v>40</v>
      </c>
      <c r="C7" s="204"/>
      <c r="D7" s="145">
        <f>IF(OR(Datum_Einde_IKV&gt;G6,Datum_Einde_IKV=""),IF(AND($B$2="Maandelijks", COUNTIF($D$1:D6, 12)=1), "",IF(OR(AND($B$2="Maandelijks", D6=12),AND($B$2="Vierwekelijks", D6=13), D6 = "Periode"), 1, D6+1)),"")</f>
        <v>6</v>
      </c>
      <c r="E7" s="145" t="str">
        <f>IF(OR(Datum_Einde_IKV="",Tabel135314[[#This Row],[DatAanvTv]]&lt;Datum_Einde_IKV),IF(E6="december","",IF(Verloningsperiodiciteit="maandelijks",rekenwaarden!F8,_xlfn.CONCAT("Periode ",rekenwaarden!E8))),"")</f>
        <v>juni</v>
      </c>
      <c r="F7" s="146">
        <f t="shared" si="0"/>
        <v>46539</v>
      </c>
      <c r="G7" s="146">
        <f>IF(F7="", "", IF(Verloningsperiodiciteit="Vierwekelijks", _xlfn.XLOOKUP(F7,rekenwaarden!$C$3:$C$54,rekenwaarden!$D$3:$D$54,"niet gevonden",-1), _xlfn.XLOOKUP(F7,rekenwaarden!$I$3:$I$54,rekenwaarden!$J$3:$J$54,"niet gevonden",-1)))</f>
        <v>46568</v>
      </c>
      <c r="H7" s="147">
        <f>IF(Tabel135314[[#This Row],[Inkomsten-periode]]="","",DATEDIF(Geboortedatum,Tabel135314[[#This Row],[DatEindTv]],"Y"))</f>
        <v>56</v>
      </c>
      <c r="I7" s="146">
        <f>IF(Tabel135314[[#This Row],[Inkomsten-periode]]="","",IF(Datum_Aanvang_IKV="","",Datum_Aanvang_IKV))</f>
        <v>46143</v>
      </c>
      <c r="J7" s="146" t="str">
        <f>IF(Tabel135314[[#This Row],[Inkomsten-periode]]="","",IF(Datum_Einde_IKV="","",IF(Datum_Einde_IKV&lt;=Tabel135314[[#This Row],[DatEindTv]],Datum_Einde_IKV,"")))</f>
        <v/>
      </c>
      <c r="K7" s="141"/>
      <c r="L7" s="141">
        <v>15</v>
      </c>
      <c r="M7" s="141">
        <v>1</v>
      </c>
      <c r="N7" s="142">
        <v>173</v>
      </c>
      <c r="O7" s="143">
        <v>4000</v>
      </c>
      <c r="P7" s="143">
        <v>0</v>
      </c>
      <c r="Q7" s="143">
        <v>320</v>
      </c>
      <c r="R7" s="143">
        <v>0</v>
      </c>
      <c r="S7" s="143">
        <v>300</v>
      </c>
      <c r="T7" s="143">
        <v>4000</v>
      </c>
      <c r="U7" s="143"/>
      <c r="V7" s="184">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Row],[OpnAvwb]],0))))</f>
        <v>4620</v>
      </c>
      <c r="W7" s="186">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Row],[AantVerlU]],0))))</f>
        <v>173</v>
      </c>
      <c r="X7" s="184"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f>
        <v/>
      </c>
      <c r="Y7" s="186"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Row],[AantVerlU]],"")),"")</f>
        <v/>
      </c>
    </row>
    <row r="8" spans="1:38" s="113" customFormat="1" ht="16.399999999999999" customHeight="1" x14ac:dyDescent="0.25">
      <c r="A8" s="122" t="s">
        <v>27</v>
      </c>
      <c r="B8" s="137" t="b">
        <v>1</v>
      </c>
      <c r="C8" s="202"/>
      <c r="D8" s="144">
        <f>IF(OR(Datum_Einde_IKV&gt;G7,Datum_Einde_IKV=""),IF(AND($B$2="Maandelijks", COUNTIF($D$1:D7, 12)=1), "",IF(OR(AND($B$2="Maandelijks", D7=12),AND($B$2="Vierwekelijks", D7=13), D7 = "Periode"), 1, D7+1)),"")</f>
        <v>7</v>
      </c>
      <c r="E8" s="145" t="str">
        <f>IF(OR(Datum_Einde_IKV="",Tabel135314[[#This Row],[DatAanvTv]]&lt;Datum_Einde_IKV),IF(E7="december","",IF(Verloningsperiodiciteit="maandelijks",rekenwaarden!F9,_xlfn.CONCAT("Periode ",rekenwaarden!E9))),"")</f>
        <v>juli</v>
      </c>
      <c r="F8" s="146">
        <f t="shared" si="0"/>
        <v>46569</v>
      </c>
      <c r="G8" s="146">
        <f>IF(F8="", "", IF(Verloningsperiodiciteit="Vierwekelijks", _xlfn.XLOOKUP(F8,rekenwaarden!$C$3:$C$54,rekenwaarden!$D$3:$D$54,"niet gevonden",-1), _xlfn.XLOOKUP(F8,rekenwaarden!$I$3:$I$54,rekenwaarden!$J$3:$J$54,"niet gevonden",-1)))</f>
        <v>46599</v>
      </c>
      <c r="H8" s="147">
        <f>IF(Tabel135314[[#This Row],[Inkomsten-periode]]="","",DATEDIF(Geboortedatum,Tabel135314[[#This Row],[DatEindTv]],"Y"))</f>
        <v>56</v>
      </c>
      <c r="I8" s="146">
        <f>IF(Tabel135314[[#This Row],[Inkomsten-periode]]="","",IF(Datum_Aanvang_IKV="","",Datum_Aanvang_IKV))</f>
        <v>46143</v>
      </c>
      <c r="J8" s="146" t="str">
        <f>IF(Tabel135314[[#This Row],[Inkomsten-periode]]="","",IF(Datum_Einde_IKV="","",IF(Datum_Einde_IKV&lt;=Tabel135314[[#This Row],[DatEindTv]],Datum_Einde_IKV,"")))</f>
        <v/>
      </c>
      <c r="K8" s="138"/>
      <c r="L8" s="138">
        <v>15</v>
      </c>
      <c r="M8" s="138">
        <v>1</v>
      </c>
      <c r="N8" s="139">
        <v>173</v>
      </c>
      <c r="O8" s="140">
        <v>4000</v>
      </c>
      <c r="P8" s="140">
        <v>0</v>
      </c>
      <c r="Q8" s="140">
        <v>320</v>
      </c>
      <c r="R8" s="140">
        <v>0</v>
      </c>
      <c r="S8" s="140">
        <v>300</v>
      </c>
      <c r="T8" s="140">
        <v>4000</v>
      </c>
      <c r="U8" s="140"/>
      <c r="V8" s="184">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Row],[OpnAvwb]],0))))</f>
        <v>4620</v>
      </c>
      <c r="W8" s="186">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Row],[AantVerlU]],0))))</f>
        <v>173</v>
      </c>
      <c r="X8" s="184"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f>
        <v/>
      </c>
      <c r="Y8" s="186"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Row],[AantVerlU]],"")),"")</f>
        <v/>
      </c>
    </row>
    <row r="9" spans="1:38" s="113" customFormat="1" ht="16.399999999999999" customHeight="1" x14ac:dyDescent="0.25">
      <c r="A9" s="122"/>
      <c r="B9" s="131"/>
      <c r="C9" s="200"/>
      <c r="D9" s="145">
        <f>IF(OR(Datum_Einde_IKV&gt;G8,Datum_Einde_IKV=""),IF(AND($B$2="Maandelijks", COUNTIF($D$1:D8, 12)=1), "",IF(OR(AND($B$2="Maandelijks", D8=12),AND($B$2="Vierwekelijks", D8=13), D8 = "Periode"), 1, D8+1)),"")</f>
        <v>8</v>
      </c>
      <c r="E9" s="145" t="str">
        <f>IF(OR(Datum_Einde_IKV="",Tabel135314[[#This Row],[DatAanvTv]]&lt;Datum_Einde_IKV),IF(E8="december","",IF(Verloningsperiodiciteit="maandelijks",rekenwaarden!F10,_xlfn.CONCAT("Periode ",rekenwaarden!E10))),"")</f>
        <v>augustus</v>
      </c>
      <c r="F9" s="146">
        <f t="shared" si="0"/>
        <v>46600</v>
      </c>
      <c r="G9" s="146">
        <f>IF(F9="", "", IF(Verloningsperiodiciteit="Vierwekelijks", _xlfn.XLOOKUP(F9,rekenwaarden!$C$3:$C$54,rekenwaarden!$D$3:$D$54,"niet gevonden",-1), _xlfn.XLOOKUP(F9,rekenwaarden!$I$3:$I$54,rekenwaarden!$J$3:$J$54,"niet gevonden",-1)))</f>
        <v>46630</v>
      </c>
      <c r="H9" s="147">
        <f>IF(Tabel135314[[#This Row],[Inkomsten-periode]]="","",DATEDIF(Geboortedatum,Tabel135314[[#This Row],[DatEindTv]],"Y"))</f>
        <v>57</v>
      </c>
      <c r="I9" s="146">
        <f>IF(Tabel135314[[#This Row],[Inkomsten-periode]]="","",IF(Datum_Aanvang_IKV="","",Datum_Aanvang_IKV))</f>
        <v>46143</v>
      </c>
      <c r="J9" s="146">
        <f>IF(Tabel135314[[#This Row],[Inkomsten-periode]]="","",IF(Datum_Einde_IKV="","",IF(Datum_Einde_IKV&lt;=Tabel135314[[#This Row],[DatEindTv]],Datum_Einde_IKV,"")))</f>
        <v>46609</v>
      </c>
      <c r="K9" s="141">
        <v>33</v>
      </c>
      <c r="L9" s="141">
        <v>15</v>
      </c>
      <c r="M9" s="141">
        <v>1</v>
      </c>
      <c r="N9" s="142">
        <v>40</v>
      </c>
      <c r="O9" s="143">
        <v>6700</v>
      </c>
      <c r="P9" s="143">
        <f>SUM(Q7:Q9)</f>
        <v>730</v>
      </c>
      <c r="Q9" s="143">
        <v>90</v>
      </c>
      <c r="R9" s="143">
        <f>SUM(S7:S9)</f>
        <v>680</v>
      </c>
      <c r="S9" s="143">
        <v>80</v>
      </c>
      <c r="T9" s="143">
        <v>6700</v>
      </c>
      <c r="U9" s="143"/>
      <c r="V9" s="184">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Row],[OpnAvwb]],0))))</f>
        <v>0</v>
      </c>
      <c r="W9" s="186">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Row],[AantVerlU]],0))))</f>
        <v>0</v>
      </c>
      <c r="X9" s="184"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f>
        <v/>
      </c>
      <c r="Y9" s="186"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Row],[AantVerlU]],"")),"")</f>
        <v/>
      </c>
    </row>
    <row r="10" spans="1:38" s="113" customFormat="1" ht="16.399999999999999" customHeight="1" thickBot="1" x14ac:dyDescent="0.3">
      <c r="A10" s="200"/>
      <c r="B10" s="200"/>
      <c r="C10" s="200"/>
      <c r="D10" s="144" t="str">
        <f>IF(OR(Datum_Einde_IKV&gt;G9,Datum_Einde_IKV=""),IF(AND($B$2="Maandelijks", COUNTIF($D$1:D9, 12)=1), "",IF(OR(AND($B$2="Maandelijks", D9=12),AND($B$2="Vierwekelijks", D9=13), D9 = "Periode"), 1, D9+1)),"")</f>
        <v/>
      </c>
      <c r="E10" s="145" t="str">
        <f>IF(OR(Datum_Einde_IKV="",Tabel135314[[#This Row],[DatAanvTv]]&lt;Datum_Einde_IKV),IF(E9="december","",IF(Verloningsperiodiciteit="maandelijks",rekenwaarden!F11,_xlfn.CONCAT("Periode ",rekenwaarden!E11))),"")</f>
        <v/>
      </c>
      <c r="F10" s="146" t="str">
        <f t="shared" si="0"/>
        <v/>
      </c>
      <c r="G10" s="146" t="str">
        <f>IF(F10="", "", IF(Verloningsperiodiciteit="Vierwekelijks", _xlfn.XLOOKUP(F10,rekenwaarden!$C$3:$C$54,rekenwaarden!$D$3:$D$54,"niet gevonden",-1), _xlfn.XLOOKUP(F10,rekenwaarden!$I$3:$I$54,rekenwaarden!$J$3:$J$54,"niet gevonden",-1)))</f>
        <v/>
      </c>
      <c r="H10" s="147" t="str">
        <f>IF(Tabel135314[[#This Row],[Inkomsten-periode]]="","",DATEDIF(Geboortedatum,Tabel135314[[#This Row],[DatEindTv]],"Y"))</f>
        <v/>
      </c>
      <c r="I10" s="146" t="str">
        <f>IF(Tabel135314[[#This Row],[Inkomsten-periode]]="","",IF(Datum_Aanvang_IKV="","",Datum_Aanvang_IKV))</f>
        <v/>
      </c>
      <c r="J10" s="146" t="str">
        <f>IF(Tabel135314[[#This Row],[Inkomsten-periode]]="","",IF(Datum_Einde_IKV="","",IF(Datum_Einde_IKV&lt;=Tabel135314[[#This Row],[DatEindTv]],Datum_Einde_IKV,"")))</f>
        <v/>
      </c>
      <c r="K10" s="138"/>
      <c r="L10" s="138"/>
      <c r="M10" s="138"/>
      <c r="N10" s="139"/>
      <c r="O10" s="140"/>
      <c r="P10" s="140"/>
      <c r="Q10" s="140"/>
      <c r="R10" s="140"/>
      <c r="S10" s="140"/>
      <c r="T10" s="140"/>
      <c r="U10" s="140"/>
      <c r="V10" s="184" t="str">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Row],[OpnAvwb]],0))))</f>
        <v/>
      </c>
      <c r="W10" s="186" t="str">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Row],[AantVerlU]],0))))</f>
        <v/>
      </c>
      <c r="X10" s="184"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f>
        <v/>
      </c>
      <c r="Y10" s="186"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Row],[AantVerlU]],"")),"")</f>
        <v/>
      </c>
    </row>
    <row r="11" spans="1:38" s="113" customFormat="1" ht="16.399999999999999" customHeight="1" x14ac:dyDescent="0.25">
      <c r="A11" s="245" t="s">
        <v>65</v>
      </c>
      <c r="B11" s="246"/>
      <c r="C11" s="200"/>
      <c r="D11" s="145" t="str">
        <f>IF(OR(Datum_Einde_IKV&gt;G10,Datum_Einde_IKV=""),IF(AND($B$2="Maandelijks", COUNTIF($D$1:D10, 12)=1), "",IF(OR(AND($B$2="Maandelijks", D10=12),AND($B$2="Vierwekelijks", D10=13), D10 = "Periode"), 1, D10+1)),"")</f>
        <v/>
      </c>
      <c r="E11" s="145" t="str">
        <f>IF(OR(Datum_Einde_IKV="",Tabel135314[[#This Row],[DatAanvTv]]&lt;Datum_Einde_IKV),IF(E10="december","",IF(Verloningsperiodiciteit="maandelijks",rekenwaarden!F12,_xlfn.CONCAT("Periode ",rekenwaarden!E12))),"")</f>
        <v/>
      </c>
      <c r="F11" s="146" t="str">
        <f t="shared" si="0"/>
        <v/>
      </c>
      <c r="G11" s="146" t="str">
        <f>IF(F11="", "", IF(Verloningsperiodiciteit="Vierwekelijks", _xlfn.XLOOKUP(F11,rekenwaarden!$C$3:$C$54,rekenwaarden!$D$3:$D$54,"niet gevonden",-1), _xlfn.XLOOKUP(F11,rekenwaarden!$I$3:$I$54,rekenwaarden!$J$3:$J$54,"niet gevonden",-1)))</f>
        <v/>
      </c>
      <c r="H11" s="147" t="str">
        <f>IF(Tabel135314[[#This Row],[Inkomsten-periode]]="","",DATEDIF(Geboortedatum,Tabel135314[[#This Row],[DatEindTv]],"Y"))</f>
        <v/>
      </c>
      <c r="I11" s="146" t="str">
        <f>IF(Tabel135314[[#This Row],[Inkomsten-periode]]="","",IF(Datum_Aanvang_IKV="","",Datum_Aanvang_IKV))</f>
        <v/>
      </c>
      <c r="J11" s="146" t="str">
        <f>IF(Tabel135314[[#This Row],[Inkomsten-periode]]="","",IF(Datum_Einde_IKV="","",IF(Datum_Einde_IKV&lt;=Tabel135314[[#This Row],[DatEindTv]],Datum_Einde_IKV,"")))</f>
        <v/>
      </c>
      <c r="K11" s="141"/>
      <c r="L11" s="141"/>
      <c r="M11" s="141"/>
      <c r="N11" s="142"/>
      <c r="O11" s="143"/>
      <c r="P11" s="143"/>
      <c r="Q11" s="143"/>
      <c r="R11" s="143"/>
      <c r="S11" s="143"/>
      <c r="T11" s="143"/>
      <c r="U11" s="143"/>
      <c r="V11" s="184" t="str">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Row],[OpnAvwb]],0))))</f>
        <v/>
      </c>
      <c r="W11" s="186" t="str">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Row],[AantVerlU]],0))))</f>
        <v/>
      </c>
      <c r="X11" s="184"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f>
        <v/>
      </c>
      <c r="Y11" s="186"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Row],[AantVerlU]],"")),"")</f>
        <v/>
      </c>
    </row>
    <row r="12" spans="1:38" s="113" customFormat="1" ht="16.399999999999999" customHeight="1" x14ac:dyDescent="0.25">
      <c r="A12" s="249" t="s">
        <v>179</v>
      </c>
      <c r="B12" s="250"/>
      <c r="C12" s="200"/>
      <c r="D12" s="144" t="str">
        <f>IF(OR(Datum_Einde_IKV&gt;G11,Datum_Einde_IKV=""),IF(AND($B$2="Maandelijks", COUNTIF($D$1:D11, 12)=1), "",IF(OR(AND($B$2="Maandelijks", D11=12),AND($B$2="Vierwekelijks", D11=13), D11 = "Periode"), 1, D11+1)),"")</f>
        <v/>
      </c>
      <c r="E12" s="145" t="str">
        <f>IF(OR(Datum_Einde_IKV="",Tabel135314[[#This Row],[DatAanvTv]]&lt;Datum_Einde_IKV),IF(E11="december","",IF(Verloningsperiodiciteit="maandelijks",rekenwaarden!F13,_xlfn.CONCAT("Periode ",rekenwaarden!E13))),"")</f>
        <v/>
      </c>
      <c r="F12" s="146" t="str">
        <f t="shared" si="0"/>
        <v/>
      </c>
      <c r="G12" s="146" t="str">
        <f>IF(F12="", "", IF(Verloningsperiodiciteit="Vierwekelijks", _xlfn.XLOOKUP(F12,rekenwaarden!$C$3:$C$54,rekenwaarden!$D$3:$D$54,"niet gevonden",-1), _xlfn.XLOOKUP(F12,rekenwaarden!$I$3:$I$54,rekenwaarden!$J$3:$J$54,"niet gevonden",-1)))</f>
        <v/>
      </c>
      <c r="H12" s="147" t="str">
        <f>IF(Tabel135314[[#This Row],[Inkomsten-periode]]="","",DATEDIF(Geboortedatum,Tabel135314[[#This Row],[DatEindTv]],"Y"))</f>
        <v/>
      </c>
      <c r="I12" s="146" t="str">
        <f>IF(Tabel135314[[#This Row],[Inkomsten-periode]]="","",IF(Datum_Aanvang_IKV="","",Datum_Aanvang_IKV))</f>
        <v/>
      </c>
      <c r="J12" s="146" t="str">
        <f>IF(Tabel135314[[#This Row],[Inkomsten-periode]]="","",IF(Datum_Einde_IKV="","",IF(Datum_Einde_IKV&lt;=Tabel135314[[#This Row],[DatEindTv]],Datum_Einde_IKV,"")))</f>
        <v/>
      </c>
      <c r="K12" s="138"/>
      <c r="L12" s="138"/>
      <c r="M12" s="138"/>
      <c r="N12" s="139"/>
      <c r="O12" s="140"/>
      <c r="P12" s="140"/>
      <c r="Q12" s="140"/>
      <c r="R12" s="140"/>
      <c r="S12" s="140"/>
      <c r="T12" s="140"/>
      <c r="U12" s="140"/>
      <c r="V12" s="184" t="str">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Row],[OpnAvwb]],0))))</f>
        <v/>
      </c>
      <c r="W12" s="186" t="str">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Row],[AantVerlU]],0))))</f>
        <v/>
      </c>
      <c r="X12" s="184"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f>
        <v/>
      </c>
      <c r="Y12" s="186"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Row],[AantVerlU]],"")),"")</f>
        <v/>
      </c>
    </row>
    <row r="13" spans="1:38" s="113" customFormat="1" ht="16.399999999999999" customHeight="1" x14ac:dyDescent="0.25">
      <c r="A13" s="249"/>
      <c r="B13" s="250"/>
      <c r="C13" s="200"/>
      <c r="D13" s="145" t="str">
        <f>IF(OR(Datum_Einde_IKV&gt;G12,Datum_Einde_IKV=""),IF(AND($B$2="Maandelijks", COUNTIF($D$1:D12, 12)=1), "",IF(OR(AND($B$2="Maandelijks", D12=12),AND($B$2="Vierwekelijks", D12=13), D12 = "Periode"), 1, D12+1)),"")</f>
        <v/>
      </c>
      <c r="E13" s="145" t="str">
        <f>IF(OR(Datum_Einde_IKV="",Tabel135314[[#This Row],[DatAanvTv]]&lt;Datum_Einde_IKV),IF(E12="december","",IF(Verloningsperiodiciteit="maandelijks",rekenwaarden!F14,_xlfn.CONCAT("Periode ",rekenwaarden!E14))),"")</f>
        <v/>
      </c>
      <c r="F13" s="146" t="str">
        <f t="shared" si="0"/>
        <v/>
      </c>
      <c r="G13" s="146" t="str">
        <f>IF(F13="", "", IF(Verloningsperiodiciteit="Vierwekelijks", _xlfn.XLOOKUP(F13,rekenwaarden!$C$3:$C$54,rekenwaarden!$D$3:$D$54,"niet gevonden",-1), _xlfn.XLOOKUP(F13,rekenwaarden!$I$3:$I$54,rekenwaarden!$J$3:$J$54,"niet gevonden",-1)))</f>
        <v/>
      </c>
      <c r="H13" s="147" t="str">
        <f>IF(Tabel135314[[#This Row],[Inkomsten-periode]]="","",DATEDIF(Geboortedatum,Tabel135314[[#This Row],[DatEindTv]],"Y"))</f>
        <v/>
      </c>
      <c r="I13" s="146" t="str">
        <f>IF(Tabel135314[[#This Row],[Inkomsten-periode]]="","",IF(Datum_Aanvang_IKV="","",Datum_Aanvang_IKV))</f>
        <v/>
      </c>
      <c r="J13" s="146" t="str">
        <f>IF(Tabel135314[[#This Row],[Inkomsten-periode]]="","",IF(Datum_Einde_IKV="","",IF(Datum_Einde_IKV&lt;=Tabel135314[[#This Row],[DatEindTv]],Datum_Einde_IKV,"")))</f>
        <v/>
      </c>
      <c r="K13" s="141"/>
      <c r="L13" s="141"/>
      <c r="M13" s="141"/>
      <c r="N13" s="142"/>
      <c r="O13" s="143"/>
      <c r="P13" s="143"/>
      <c r="Q13" s="143"/>
      <c r="R13" s="143"/>
      <c r="S13" s="143"/>
      <c r="T13" s="143"/>
      <c r="U13" s="143"/>
      <c r="V13" s="184" t="str">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Row],[OpnAvwb]],0))))</f>
        <v/>
      </c>
      <c r="W13" s="186" t="str">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Row],[AantVerlU]],0))))</f>
        <v/>
      </c>
      <c r="X13" s="184"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f>
        <v/>
      </c>
      <c r="Y13" s="186"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Row],[AantVerlU]],"")),"")</f>
        <v/>
      </c>
    </row>
    <row r="14" spans="1:38" s="113" customFormat="1" ht="16.399999999999999" customHeight="1" x14ac:dyDescent="0.25">
      <c r="A14" s="249"/>
      <c r="B14" s="250"/>
      <c r="C14" s="200"/>
      <c r="D14" s="144" t="str">
        <f>IF(OR(Datum_Einde_IKV&gt;G13,Datum_Einde_IKV=""),IF(AND($B$2="Maandelijks", COUNTIF($D$1:D13, 12)=1), "",IF(OR(AND($B$2="Maandelijks", D13=12),AND($B$2="Vierwekelijks", D13=13), D13 = "Periode"), 1, D13+1)),"")</f>
        <v/>
      </c>
      <c r="E14" s="145" t="str">
        <f>IF(OR(Datum_Einde_IKV="",Tabel135314[[#This Row],[DatAanvTv]]&lt;Datum_Einde_IKV),IF(E13="december","",IF(Verloningsperiodiciteit="maandelijks",rekenwaarden!F15,_xlfn.CONCAT("Periode ",rekenwaarden!E15))),"")</f>
        <v/>
      </c>
      <c r="F14" s="146" t="str">
        <f t="shared" si="0"/>
        <v/>
      </c>
      <c r="G14" s="146" t="str">
        <f>IF(F14="", "", IF(Verloningsperiodiciteit="Vierwekelijks", _xlfn.XLOOKUP(F14,rekenwaarden!$C$3:$C$54,rekenwaarden!$D$3:$D$54,"niet gevonden",-1), _xlfn.XLOOKUP(F14,rekenwaarden!$I$3:$I$54,rekenwaarden!$J$3:$J$54,"niet gevonden",-1)))</f>
        <v/>
      </c>
      <c r="H14" s="147" t="str">
        <f>IF(Tabel135314[[#This Row],[Inkomsten-periode]]="","",DATEDIF(Geboortedatum,Tabel135314[[#This Row],[DatEindTv]],"Y"))</f>
        <v/>
      </c>
      <c r="I14" s="146" t="str">
        <f>IF(Tabel135314[[#This Row],[Inkomsten-periode]]="","",IF(Datum_Aanvang_IKV="","",Datum_Aanvang_IKV))</f>
        <v/>
      </c>
      <c r="J14" s="146" t="str">
        <f>IF(Tabel135314[[#This Row],[Inkomsten-periode]]="","",IF(Datum_Einde_IKV="","",IF(Datum_Einde_IKV&lt;=Tabel135314[[#This Row],[DatEindTv]],Datum_Einde_IKV,"")))</f>
        <v/>
      </c>
      <c r="K14" s="138"/>
      <c r="L14" s="138"/>
      <c r="M14" s="138"/>
      <c r="N14" s="139"/>
      <c r="O14" s="140"/>
      <c r="P14" s="140"/>
      <c r="Q14" s="140"/>
      <c r="R14" s="140"/>
      <c r="S14" s="140"/>
      <c r="T14" s="140"/>
      <c r="U14" s="140"/>
      <c r="V14" s="184" t="str">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Row],[OpnAvwb]],0))))</f>
        <v/>
      </c>
      <c r="W14" s="187" t="str">
        <f>IF(Tabel135314[[#This Row],[Inkomsten-periode]]="","",IF(OR(Tabel135314[[#This Row],[Leeftijd]]&lt;18,Tabel135314[[#This Row],[Leeftijd]]&gt;=68),0,IF(Tabel135314[[#This Row],[CdRdnEindArbov]]=33,0,IF(AND(OR(Tabel135314[[#This Row],[SrtIV]]=13,Tabel135314[[#This Row],[SrtIV]]=15,Tabel135314[[#This Row],[SrtIV]]=31),OR(Tabel135314[[#This Row],[CdAard]]=1,Tabel135314[[#This Row],[CdAard]]=11,Tabel135314[[#This Row],[CdAard]]=82,Tabel135314[[#This Row],[CdAard]]=83)),Tabel135314[[#This Row],[AantVerlU]],0))))</f>
        <v/>
      </c>
      <c r="X14" s="184"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Row],[LnInGld]]+Tabel135314[[#This Row],[OpgRchtVakBsl]]-Tabel135314[[#This Row],[VakBsl]]+Tabel135314[[#This Row],[OpbAvwb]]-Tabel135314[[#This Row],[OpnAvwb]],"")),"")</f>
        <v/>
      </c>
      <c r="Y14" s="187" t="str">
        <f>IF(Tabel135314[[#This Row],[Inkomsten-periode]]="",IF(Tabel135314[[#This Row],[CdRdnEindArbov]]=33,0,IF(AND(OR(Tabel135314[[#This Row],[SrtIV]]=13,Tabel135314[[#This Row],[SrtIV]]=15,Tabel135314[[#This Row],[SrtIV]]=31),OR(Tabel135314[[#This Row],[CdAard]]=1,Tabel135314[[#This Row],[CdAard]]=11,Tabel135314[[#This Row],[CdAard]]=82,Tabel135314[[#This Row],[CdAard]]=83)),Tabel135314[[#This Row],[AantVerlU]],"")),"")</f>
        <v/>
      </c>
    </row>
    <row r="15" spans="1:38" ht="16.399999999999999" customHeight="1" thickBot="1" x14ac:dyDescent="0.3">
      <c r="A15" s="249"/>
      <c r="B15" s="250"/>
      <c r="C15" s="205"/>
      <c r="D15" s="205"/>
      <c r="E15" s="206"/>
      <c r="F15" s="206"/>
      <c r="G15" s="206"/>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row>
    <row r="16" spans="1:38" ht="16.399999999999999" customHeight="1" x14ac:dyDescent="0.35">
      <c r="A16" s="249"/>
      <c r="B16" s="250"/>
      <c r="C16" s="205"/>
      <c r="D16" s="177"/>
      <c r="E16" s="178"/>
      <c r="F16" s="178"/>
      <c r="G16" s="208"/>
      <c r="H16" s="209"/>
      <c r="I16" s="208" t="s">
        <v>68</v>
      </c>
      <c r="J16" s="207" t="s">
        <v>69</v>
      </c>
      <c r="K16" s="199"/>
      <c r="L16" s="196"/>
      <c r="M16" s="179"/>
      <c r="N16" s="179"/>
      <c r="O16" s="179"/>
      <c r="P16" s="180"/>
      <c r="Q16" s="179"/>
      <c r="R16" s="179"/>
      <c r="S16" s="179"/>
      <c r="T16" s="179"/>
      <c r="U16" s="179"/>
      <c r="V16" s="179"/>
      <c r="W16" s="179"/>
      <c r="X16" s="179"/>
      <c r="Y16" s="179"/>
      <c r="Z16" s="179"/>
      <c r="AA16" s="179"/>
      <c r="AB16" s="179"/>
      <c r="AC16" s="179"/>
      <c r="AD16" s="181" t="s">
        <v>29</v>
      </c>
      <c r="AE16" s="181"/>
      <c r="AF16" s="181" t="s">
        <v>30</v>
      </c>
      <c r="AG16" s="181"/>
      <c r="AH16" s="181" t="s">
        <v>31</v>
      </c>
      <c r="AI16" s="181" t="s">
        <v>32</v>
      </c>
      <c r="AJ16" s="181" t="s">
        <v>33</v>
      </c>
      <c r="AK16" s="181" t="s">
        <v>70</v>
      </c>
      <c r="AL16" s="182" t="s">
        <v>35</v>
      </c>
    </row>
    <row r="17" spans="1:38" ht="26" x14ac:dyDescent="0.25">
      <c r="A17" s="249"/>
      <c r="B17" s="250"/>
      <c r="C17" s="205"/>
      <c r="D17" s="247" t="s">
        <v>1</v>
      </c>
      <c r="E17" s="248"/>
      <c r="F17" s="148" t="s">
        <v>36</v>
      </c>
      <c r="G17" s="198" t="s">
        <v>37</v>
      </c>
      <c r="H17" s="195" t="s">
        <v>71</v>
      </c>
      <c r="I17" s="194" t="s">
        <v>18</v>
      </c>
      <c r="J17" s="195" t="s">
        <v>71</v>
      </c>
      <c r="K17" s="194" t="s">
        <v>18</v>
      </c>
      <c r="L17" s="197" t="s">
        <v>39</v>
      </c>
      <c r="M17" s="149" t="s">
        <v>40</v>
      </c>
      <c r="N17" s="149" t="s">
        <v>37</v>
      </c>
      <c r="O17" s="148" t="s">
        <v>41</v>
      </c>
      <c r="P17" s="148" t="s">
        <v>42</v>
      </c>
      <c r="Q17" s="148" t="s">
        <v>43</v>
      </c>
      <c r="R17" s="148" t="s">
        <v>44</v>
      </c>
      <c r="S17" s="149" t="s">
        <v>45</v>
      </c>
      <c r="T17" s="149" t="s">
        <v>46</v>
      </c>
      <c r="U17" s="149" t="s">
        <v>47</v>
      </c>
      <c r="V17" s="149" t="s">
        <v>48</v>
      </c>
      <c r="W17" s="149" t="s">
        <v>49</v>
      </c>
      <c r="X17" s="149" t="s">
        <v>50</v>
      </c>
      <c r="Y17" s="149" t="s">
        <v>51</v>
      </c>
      <c r="Z17" s="149" t="s">
        <v>52</v>
      </c>
      <c r="AA17" s="149" t="s">
        <v>53</v>
      </c>
      <c r="AB17" s="149" t="s">
        <v>54</v>
      </c>
      <c r="AC17" s="149" t="s">
        <v>55</v>
      </c>
      <c r="AD17" s="149" t="s">
        <v>56</v>
      </c>
      <c r="AE17" s="149" t="s">
        <v>57</v>
      </c>
      <c r="AF17" s="149" t="s">
        <v>56</v>
      </c>
      <c r="AG17" s="149" t="s">
        <v>57</v>
      </c>
      <c r="AH17" s="149" t="s">
        <v>58</v>
      </c>
      <c r="AI17" s="149" t="s">
        <v>58</v>
      </c>
      <c r="AJ17" s="149" t="s">
        <v>58</v>
      </c>
      <c r="AK17" s="149" t="s">
        <v>58</v>
      </c>
      <c r="AL17" s="162" t="s">
        <v>58</v>
      </c>
    </row>
    <row r="18" spans="1:38" s="113" customFormat="1" ht="15.65" customHeight="1" x14ac:dyDescent="0.25">
      <c r="A18" s="249"/>
      <c r="B18" s="250"/>
      <c r="C18" s="200"/>
      <c r="D18" s="163">
        <f>D2</f>
        <v>1</v>
      </c>
      <c r="E18" s="150" t="str">
        <f>E2</f>
        <v>januari</v>
      </c>
      <c r="F18" s="151">
        <f>F2</f>
        <v>46388</v>
      </c>
      <c r="G18" s="151">
        <f>G2</f>
        <v>46418</v>
      </c>
      <c r="H18" s="188">
        <f t="shared" ref="H18:H30" si="1">IF(AND(W2="",Y2=""),"",MAX(W2,Y2))</f>
        <v>173</v>
      </c>
      <c r="I18" s="191">
        <f t="shared" ref="I18:I30" si="2">IF(AND(V2="",X2=""),"",MAX(V2,X2))</f>
        <v>4620</v>
      </c>
      <c r="J18" s="188">
        <f>IF($E18="","",IF($E19="",SUM(H18:H$30),H18))</f>
        <v>173</v>
      </c>
      <c r="K18" s="191">
        <f>IF($E18="","",IF($E19="",SUM(I18:I$30),I18))</f>
        <v>4620</v>
      </c>
      <c r="L18" s="152">
        <f t="shared" ref="L18:L30" si="3">IF(E18="","",Normuren_per_week)</f>
        <v>40</v>
      </c>
      <c r="M18" s="151">
        <f t="shared" ref="M18:M30" si="4">IF(OR(MAX($B$4, F18)&gt;G18, MIN(Datum_Einde_IKV, G18)&lt;F18),"", MAX(Datum_Aanvang_IKV, F18))</f>
        <v>46388</v>
      </c>
      <c r="N18" s="151">
        <f t="shared" ref="N18:N30" si="5">IF(OR(MAX(Datum_Aanvang_IKV, F18)&gt;G18, MIN(Datum_Einde_IKV, G18)&lt;F18),"", MIN(Datum_Einde_IKV, G18))</f>
        <v>46418</v>
      </c>
      <c r="O18" s="150">
        <f>IF(M18="","",N18-M18+1)</f>
        <v>31</v>
      </c>
      <c r="P18" s="153">
        <f t="shared" ref="P18:P30" si="6">IF(M18="", "",  O18 / (G18-F18+1))</f>
        <v>1</v>
      </c>
      <c r="Q18" s="154">
        <f t="shared" ref="Q18:Q30" si="7">IF(M18="","",P18/IF(Verloningsperiodiciteit= "Maandelijks",12,13))</f>
        <v>8.3333333333333329E-2</v>
      </c>
      <c r="R18" s="155">
        <f t="shared" ref="R18:R30" si="8">IF(M18="","",L18*52/IF(Verloningsperiodiciteit="Maandelijks",12,13)*P18)</f>
        <v>173.33333333333334</v>
      </c>
      <c r="S18" s="156">
        <f t="shared" ref="S18:S30" si="9">IF(M18="","",MIN(K18+IF(AND(D18&lt;&gt;1, S17&lt;&gt;""),S17,0)))</f>
        <v>4620</v>
      </c>
      <c r="T18" s="157">
        <f t="shared" ref="T18:T30" si="10">IF(M18="","",J18+IF(AND(D18&lt;&gt;1, T17&lt;&gt;""),T17,0))</f>
        <v>173</v>
      </c>
      <c r="U18" s="157">
        <f t="shared" ref="U18:U30" si="11">IF(M18="","",R18+IF(AND(D18&lt;&gt;1, U17&lt;&gt;""),U17,0))</f>
        <v>173.33333333333334</v>
      </c>
      <c r="V18" s="158">
        <f>IF(M18="",0,T18/U18)</f>
        <v>0.99807692307692297</v>
      </c>
      <c r="W18" s="159">
        <f>IF(M18="","",VLOOKUP($B$6,rekenwaarden!M$8:N$12,2))</f>
        <v>9.4499999999999993</v>
      </c>
      <c r="X18" s="160">
        <f t="shared" ref="X18:X30" si="12">IF(M18="","",W18*J18)</f>
        <v>1634.85</v>
      </c>
      <c r="Y18" s="160">
        <f t="shared" ref="Y18:Y30" si="13">IF(M18="","",X18+IF(AND(D18&lt;&gt;1, Y17&lt;&gt;""),Y17,0))</f>
        <v>1634.85</v>
      </c>
      <c r="Z18" s="160">
        <f>IF(M18="","", VLOOKUP(B$6,rekenwaarden!M$8:T$12,3)*Q18)</f>
        <v>6617.4166666666661</v>
      </c>
      <c r="AA18" s="160">
        <f t="shared" ref="AA18:AA30" si="14">IF(M18="","",Z18+IF(AND(D18&lt;&gt;1, AA17&lt;&gt;""),AA17,0))</f>
        <v>6617.4166666666661</v>
      </c>
      <c r="AB18" s="160">
        <f>IF(M18="","", VLOOKUP($B$6,rekenwaarden!M$8:T$12,4)*Q18)</f>
        <v>11483.333333333332</v>
      </c>
      <c r="AC18" s="160">
        <f t="shared" ref="AC18:AC30" si="15">IF(M18="","",AB18+IF(AND(D18&lt;&gt;1, AC17&lt;&gt;""),AC17,0))</f>
        <v>11483.333333333332</v>
      </c>
      <c r="AD18" s="160">
        <f t="shared" ref="AD18:AD30" si="16">IF(M18="", "", MAX(MIN(S18, AA18*MIN(1, V18))-Y18, 0))</f>
        <v>2985.15</v>
      </c>
      <c r="AE18" s="160">
        <f t="shared" ref="AE18:AE30" si="17">IF(M18="","",AD18-IF(AND(D18&lt;&gt;1, AD17&lt;&gt;""),AD17,0))</f>
        <v>2985.15</v>
      </c>
      <c r="AF18" s="160">
        <f>IF(OR($B$8="ONWAAR", M18=""), "", MAX(MIN(S18, AC18*MIN(1, V18))-AA18*MIN(1, V18), 0))</f>
        <v>0</v>
      </c>
      <c r="AG18" s="160">
        <f t="shared" ref="AG18:AG30" si="18">IF(OR(M18="", AF18=""),"",AF18-IF(AND(D18&lt;&gt;1, AF17&lt;&gt;""),AF17,0))</f>
        <v>0</v>
      </c>
      <c r="AH18" s="161">
        <f t="shared" ref="AH18:AH30" ca="1" si="19">IF($M18="", "", AE18*INDIRECT(CONCATENATE("premiepct", YEAR(F18))))</f>
        <v>886.58955000000003</v>
      </c>
      <c r="AI18" s="161">
        <f ca="1">IF(OR($F$4=FALSE, M18=""), "", AG18*INDIRECT(CONCATENATE("premiepct", YEAR($F18))))</f>
        <v>0</v>
      </c>
      <c r="AJ18" s="161"/>
      <c r="AK18" s="161"/>
      <c r="AL18" s="164">
        <f ca="1">IF(M18="","",SUM(AH18:AK18))</f>
        <v>886.58955000000003</v>
      </c>
    </row>
    <row r="19" spans="1:38" s="113" customFormat="1" ht="15.65" customHeight="1" x14ac:dyDescent="0.25">
      <c r="A19" s="249"/>
      <c r="B19" s="250"/>
      <c r="C19" s="200"/>
      <c r="D19" s="163">
        <f t="shared" ref="D19:G30" si="20">D3</f>
        <v>2</v>
      </c>
      <c r="E19" s="150" t="str">
        <f t="shared" si="20"/>
        <v>februari</v>
      </c>
      <c r="F19" s="151">
        <f t="shared" si="20"/>
        <v>46419</v>
      </c>
      <c r="G19" s="151">
        <f t="shared" si="20"/>
        <v>46446</v>
      </c>
      <c r="H19" s="189">
        <f t="shared" si="1"/>
        <v>173</v>
      </c>
      <c r="I19" s="192">
        <f t="shared" si="2"/>
        <v>4620</v>
      </c>
      <c r="J19" s="189">
        <f>IF($E19="","",IF($E20="",SUM(H19:H$30),H19))</f>
        <v>173</v>
      </c>
      <c r="K19" s="192">
        <f>IF($E19="","",IF($E20="",SUM(I19:I$30),I19))</f>
        <v>4620</v>
      </c>
      <c r="L19" s="152">
        <f t="shared" si="3"/>
        <v>40</v>
      </c>
      <c r="M19" s="151">
        <f t="shared" si="4"/>
        <v>46419</v>
      </c>
      <c r="N19" s="151">
        <f t="shared" si="5"/>
        <v>46446</v>
      </c>
      <c r="O19" s="150">
        <f t="shared" ref="O19:O30" si="21">IF(M19="","",N19-M19+1)</f>
        <v>28</v>
      </c>
      <c r="P19" s="153">
        <f t="shared" si="6"/>
        <v>1</v>
      </c>
      <c r="Q19" s="154">
        <f t="shared" si="7"/>
        <v>8.3333333333333329E-2</v>
      </c>
      <c r="R19" s="155">
        <f t="shared" si="8"/>
        <v>173.33333333333334</v>
      </c>
      <c r="S19" s="156">
        <f t="shared" si="9"/>
        <v>9240</v>
      </c>
      <c r="T19" s="157">
        <f t="shared" si="10"/>
        <v>346</v>
      </c>
      <c r="U19" s="157">
        <f t="shared" si="11"/>
        <v>346.66666666666669</v>
      </c>
      <c r="V19" s="158">
        <f t="shared" ref="V19:V30" si="22">IF(M19="","",T19/U19)</f>
        <v>0.99807692307692297</v>
      </c>
      <c r="W19" s="159">
        <f>IF(M19="","",VLOOKUP($B$6,rekenwaarden!M$8:N$12,2))</f>
        <v>9.4499999999999993</v>
      </c>
      <c r="X19" s="160">
        <f t="shared" si="12"/>
        <v>1634.85</v>
      </c>
      <c r="Y19" s="160">
        <f t="shared" si="13"/>
        <v>3269.7</v>
      </c>
      <c r="Z19" s="160">
        <f>IF(M19="","", VLOOKUP(B$6,rekenwaarden!M$8:T$12,3)*Q19)</f>
        <v>6617.4166666666661</v>
      </c>
      <c r="AA19" s="160">
        <f t="shared" si="14"/>
        <v>13234.833333333332</v>
      </c>
      <c r="AB19" s="160">
        <f>IF(M19="","", VLOOKUP($B$6,rekenwaarden!M$8:T$12,4)*Q19)</f>
        <v>11483.333333333332</v>
      </c>
      <c r="AC19" s="160">
        <f t="shared" si="15"/>
        <v>22966.666666666664</v>
      </c>
      <c r="AD19" s="160">
        <f t="shared" si="16"/>
        <v>5970.3</v>
      </c>
      <c r="AE19" s="160">
        <f t="shared" si="17"/>
        <v>2985.15</v>
      </c>
      <c r="AF19" s="160">
        <f t="shared" ref="AF19:AF30" si="23">IF(OR($B$8="ONWAAR", M19=""), "", MAX(MIN(S19, AC19*MIN(1, V19))-AA19*MIN(1, V19), 0))</f>
        <v>0</v>
      </c>
      <c r="AG19" s="160">
        <f t="shared" si="18"/>
        <v>0</v>
      </c>
      <c r="AH19" s="161">
        <f t="shared" ca="1" si="19"/>
        <v>886.58955000000003</v>
      </c>
      <c r="AI19" s="161">
        <f t="shared" ref="AI19:AI30" ca="1" si="24">IF(OR($F$4=FALSE, M19=""), "", AG19*INDIRECT(CONCATENATE("premiepct", YEAR($F19))))</f>
        <v>0</v>
      </c>
      <c r="AJ19" s="161"/>
      <c r="AK19" s="161"/>
      <c r="AL19" s="164">
        <f t="shared" ref="AL19:AL30" ca="1" si="25">IF(M19="","",SUM(AH19:AK19))</f>
        <v>886.58955000000003</v>
      </c>
    </row>
    <row r="20" spans="1:38" s="113" customFormat="1" ht="15.65" customHeight="1" x14ac:dyDescent="0.25">
      <c r="A20" s="249"/>
      <c r="B20" s="250"/>
      <c r="C20" s="200"/>
      <c r="D20" s="163">
        <f t="shared" si="20"/>
        <v>3</v>
      </c>
      <c r="E20" s="150" t="str">
        <f t="shared" si="20"/>
        <v>maart</v>
      </c>
      <c r="F20" s="151">
        <f t="shared" si="20"/>
        <v>46447</v>
      </c>
      <c r="G20" s="151">
        <f t="shared" si="20"/>
        <v>46477</v>
      </c>
      <c r="H20" s="188">
        <f t="shared" si="1"/>
        <v>173</v>
      </c>
      <c r="I20" s="191">
        <f t="shared" si="2"/>
        <v>4620</v>
      </c>
      <c r="J20" s="188">
        <f>IF($E20="","",IF($E21="",SUM(H20:H$30),H20))</f>
        <v>173</v>
      </c>
      <c r="K20" s="191">
        <f>IF($E20="","",IF($E21="",SUM(I20:I$30),I20))</f>
        <v>4620</v>
      </c>
      <c r="L20" s="152">
        <f t="shared" si="3"/>
        <v>40</v>
      </c>
      <c r="M20" s="151">
        <f t="shared" si="4"/>
        <v>46447</v>
      </c>
      <c r="N20" s="151">
        <f t="shared" si="5"/>
        <v>46477</v>
      </c>
      <c r="O20" s="150">
        <f t="shared" si="21"/>
        <v>31</v>
      </c>
      <c r="P20" s="153">
        <f t="shared" si="6"/>
        <v>1</v>
      </c>
      <c r="Q20" s="154">
        <f t="shared" si="7"/>
        <v>8.3333333333333329E-2</v>
      </c>
      <c r="R20" s="155">
        <f t="shared" si="8"/>
        <v>173.33333333333334</v>
      </c>
      <c r="S20" s="156">
        <f t="shared" si="9"/>
        <v>13860</v>
      </c>
      <c r="T20" s="157">
        <f t="shared" si="10"/>
        <v>519</v>
      </c>
      <c r="U20" s="157">
        <f t="shared" si="11"/>
        <v>520</v>
      </c>
      <c r="V20" s="158">
        <f t="shared" si="22"/>
        <v>0.99807692307692308</v>
      </c>
      <c r="W20" s="159">
        <f>IF(M20="","",VLOOKUP($B$6,rekenwaarden!M$8:N$12,2))</f>
        <v>9.4499999999999993</v>
      </c>
      <c r="X20" s="160">
        <f t="shared" si="12"/>
        <v>1634.85</v>
      </c>
      <c r="Y20" s="160">
        <f t="shared" si="13"/>
        <v>4904.5499999999993</v>
      </c>
      <c r="Z20" s="160">
        <f>IF(M20="","", VLOOKUP(B$6,rekenwaarden!M$8:T$12,3)*Q20)</f>
        <v>6617.4166666666661</v>
      </c>
      <c r="AA20" s="160">
        <f t="shared" si="14"/>
        <v>19852.25</v>
      </c>
      <c r="AB20" s="160">
        <f>IF(M20="","", VLOOKUP($B$6,rekenwaarden!M$8:T$12,4)*Q20)</f>
        <v>11483.333333333332</v>
      </c>
      <c r="AC20" s="160">
        <f t="shared" si="15"/>
        <v>34450</v>
      </c>
      <c r="AD20" s="160">
        <f t="shared" si="16"/>
        <v>8955.4500000000007</v>
      </c>
      <c r="AE20" s="160">
        <f t="shared" si="17"/>
        <v>2985.1500000000005</v>
      </c>
      <c r="AF20" s="160">
        <f t="shared" si="23"/>
        <v>0</v>
      </c>
      <c r="AG20" s="160">
        <f t="shared" si="18"/>
        <v>0</v>
      </c>
      <c r="AH20" s="161">
        <f t="shared" ca="1" si="19"/>
        <v>886.58955000000014</v>
      </c>
      <c r="AI20" s="161">
        <f t="shared" ca="1" si="24"/>
        <v>0</v>
      </c>
      <c r="AJ20" s="161"/>
      <c r="AK20" s="161"/>
      <c r="AL20" s="164">
        <f t="shared" ca="1" si="25"/>
        <v>886.58955000000014</v>
      </c>
    </row>
    <row r="21" spans="1:38" s="113" customFormat="1" ht="15.65" customHeight="1" x14ac:dyDescent="0.25">
      <c r="A21" s="249"/>
      <c r="B21" s="250"/>
      <c r="C21" s="200"/>
      <c r="D21" s="163">
        <f t="shared" si="20"/>
        <v>4</v>
      </c>
      <c r="E21" s="150" t="str">
        <f t="shared" si="20"/>
        <v>april</v>
      </c>
      <c r="F21" s="151">
        <f t="shared" si="20"/>
        <v>46478</v>
      </c>
      <c r="G21" s="151">
        <f t="shared" si="20"/>
        <v>46507</v>
      </c>
      <c r="H21" s="189">
        <f t="shared" si="1"/>
        <v>173</v>
      </c>
      <c r="I21" s="192">
        <f t="shared" si="2"/>
        <v>4620</v>
      </c>
      <c r="J21" s="189">
        <f>IF($E21="","",IF($E22="",SUM(H21:H$30),H21))</f>
        <v>173</v>
      </c>
      <c r="K21" s="192">
        <f>IF($E21="","",IF($E22="",SUM(I21:I$30),I21))</f>
        <v>4620</v>
      </c>
      <c r="L21" s="152">
        <f t="shared" si="3"/>
        <v>40</v>
      </c>
      <c r="M21" s="151">
        <f t="shared" si="4"/>
        <v>46478</v>
      </c>
      <c r="N21" s="151">
        <f t="shared" si="5"/>
        <v>46507</v>
      </c>
      <c r="O21" s="150">
        <f t="shared" si="21"/>
        <v>30</v>
      </c>
      <c r="P21" s="153">
        <f t="shared" si="6"/>
        <v>1</v>
      </c>
      <c r="Q21" s="154">
        <f t="shared" si="7"/>
        <v>8.3333333333333329E-2</v>
      </c>
      <c r="R21" s="155">
        <f t="shared" si="8"/>
        <v>173.33333333333334</v>
      </c>
      <c r="S21" s="156">
        <f t="shared" si="9"/>
        <v>18480</v>
      </c>
      <c r="T21" s="157">
        <f t="shared" si="10"/>
        <v>692</v>
      </c>
      <c r="U21" s="157">
        <f t="shared" si="11"/>
        <v>693.33333333333337</v>
      </c>
      <c r="V21" s="158">
        <f t="shared" si="22"/>
        <v>0.99807692307692297</v>
      </c>
      <c r="W21" s="159">
        <f>IF(M21="","",VLOOKUP($B$6,rekenwaarden!M$8:N$12,2))</f>
        <v>9.4499999999999993</v>
      </c>
      <c r="X21" s="160">
        <f t="shared" si="12"/>
        <v>1634.85</v>
      </c>
      <c r="Y21" s="160">
        <f t="shared" si="13"/>
        <v>6539.4</v>
      </c>
      <c r="Z21" s="160">
        <f>IF(M21="","", VLOOKUP(B$6,rekenwaarden!M$8:T$12,3)*Q21)</f>
        <v>6617.4166666666661</v>
      </c>
      <c r="AA21" s="160">
        <f t="shared" si="14"/>
        <v>26469.666666666664</v>
      </c>
      <c r="AB21" s="160">
        <f>IF(M21="","", VLOOKUP($B$6,rekenwaarden!M$8:T$12,4)*Q21)</f>
        <v>11483.333333333332</v>
      </c>
      <c r="AC21" s="160">
        <f t="shared" si="15"/>
        <v>45933.333333333328</v>
      </c>
      <c r="AD21" s="160">
        <f t="shared" si="16"/>
        <v>11940.6</v>
      </c>
      <c r="AE21" s="160">
        <f t="shared" si="17"/>
        <v>2985.1499999999996</v>
      </c>
      <c r="AF21" s="160">
        <f t="shared" si="23"/>
        <v>0</v>
      </c>
      <c r="AG21" s="160">
        <f t="shared" si="18"/>
        <v>0</v>
      </c>
      <c r="AH21" s="161">
        <f t="shared" ca="1" si="19"/>
        <v>886.5895499999998</v>
      </c>
      <c r="AI21" s="161">
        <f t="shared" ca="1" si="24"/>
        <v>0</v>
      </c>
      <c r="AJ21" s="161"/>
      <c r="AK21" s="161"/>
      <c r="AL21" s="164">
        <f t="shared" ca="1" si="25"/>
        <v>886.5895499999998</v>
      </c>
    </row>
    <row r="22" spans="1:38" s="113" customFormat="1" ht="15.65" customHeight="1" x14ac:dyDescent="0.25">
      <c r="A22" s="249"/>
      <c r="B22" s="250"/>
      <c r="C22" s="200"/>
      <c r="D22" s="163">
        <f t="shared" si="20"/>
        <v>5</v>
      </c>
      <c r="E22" s="150" t="str">
        <f t="shared" si="20"/>
        <v>mei</v>
      </c>
      <c r="F22" s="151">
        <f t="shared" si="20"/>
        <v>46508</v>
      </c>
      <c r="G22" s="151">
        <f t="shared" si="20"/>
        <v>46538</v>
      </c>
      <c r="H22" s="188">
        <f t="shared" si="1"/>
        <v>173</v>
      </c>
      <c r="I22" s="191">
        <f t="shared" si="2"/>
        <v>4620</v>
      </c>
      <c r="J22" s="188">
        <f>IF($E22="","",IF($E23="",SUM(H22:H$30),H22))</f>
        <v>173</v>
      </c>
      <c r="K22" s="191">
        <f>IF($E22="","",IF($E23="",SUM(I22:I$30),I22))</f>
        <v>4620</v>
      </c>
      <c r="L22" s="152">
        <f t="shared" si="3"/>
        <v>40</v>
      </c>
      <c r="M22" s="151">
        <f t="shared" si="4"/>
        <v>46508</v>
      </c>
      <c r="N22" s="151">
        <f t="shared" si="5"/>
        <v>46538</v>
      </c>
      <c r="O22" s="150">
        <f t="shared" si="21"/>
        <v>31</v>
      </c>
      <c r="P22" s="153">
        <f t="shared" si="6"/>
        <v>1</v>
      </c>
      <c r="Q22" s="154">
        <f t="shared" si="7"/>
        <v>8.3333333333333329E-2</v>
      </c>
      <c r="R22" s="155">
        <f t="shared" si="8"/>
        <v>173.33333333333334</v>
      </c>
      <c r="S22" s="156">
        <f t="shared" si="9"/>
        <v>23100</v>
      </c>
      <c r="T22" s="157">
        <f t="shared" si="10"/>
        <v>865</v>
      </c>
      <c r="U22" s="157">
        <f t="shared" si="11"/>
        <v>866.66666666666674</v>
      </c>
      <c r="V22" s="158">
        <f t="shared" si="22"/>
        <v>0.99807692307692297</v>
      </c>
      <c r="W22" s="159">
        <f>IF(M22="","",VLOOKUP($B$6,rekenwaarden!M$8:N$12,2))</f>
        <v>9.4499999999999993</v>
      </c>
      <c r="X22" s="160">
        <f t="shared" si="12"/>
        <v>1634.85</v>
      </c>
      <c r="Y22" s="160">
        <f t="shared" si="13"/>
        <v>8174.25</v>
      </c>
      <c r="Z22" s="160">
        <f>IF(M22="","", VLOOKUP(B$6,rekenwaarden!M$8:T$12,3)*Q22)</f>
        <v>6617.4166666666661</v>
      </c>
      <c r="AA22" s="160">
        <f t="shared" si="14"/>
        <v>33087.083333333328</v>
      </c>
      <c r="AB22" s="160">
        <f>IF(M22="","", VLOOKUP($B$6,rekenwaarden!M$8:T$12,4)*Q22)</f>
        <v>11483.333333333332</v>
      </c>
      <c r="AC22" s="160">
        <f t="shared" si="15"/>
        <v>57416.666666666657</v>
      </c>
      <c r="AD22" s="160">
        <f t="shared" si="16"/>
        <v>14925.75</v>
      </c>
      <c r="AE22" s="160">
        <f t="shared" si="17"/>
        <v>2985.1499999999996</v>
      </c>
      <c r="AF22" s="160">
        <f t="shared" si="23"/>
        <v>0</v>
      </c>
      <c r="AG22" s="160">
        <f t="shared" si="18"/>
        <v>0</v>
      </c>
      <c r="AH22" s="161">
        <f t="shared" ca="1" si="19"/>
        <v>886.5895499999998</v>
      </c>
      <c r="AI22" s="161">
        <f t="shared" ca="1" si="24"/>
        <v>0</v>
      </c>
      <c r="AJ22" s="161"/>
      <c r="AK22" s="161"/>
      <c r="AL22" s="164">
        <f t="shared" ca="1" si="25"/>
        <v>886.5895499999998</v>
      </c>
    </row>
    <row r="23" spans="1:38" s="113" customFormat="1" ht="15.65" customHeight="1" x14ac:dyDescent="0.25">
      <c r="A23" s="249"/>
      <c r="B23" s="250"/>
      <c r="C23" s="200"/>
      <c r="D23" s="163">
        <f t="shared" si="20"/>
        <v>6</v>
      </c>
      <c r="E23" s="150" t="str">
        <f t="shared" si="20"/>
        <v>juni</v>
      </c>
      <c r="F23" s="151">
        <f t="shared" si="20"/>
        <v>46539</v>
      </c>
      <c r="G23" s="151">
        <f t="shared" si="20"/>
        <v>46568</v>
      </c>
      <c r="H23" s="189">
        <f t="shared" si="1"/>
        <v>173</v>
      </c>
      <c r="I23" s="192">
        <f t="shared" si="2"/>
        <v>4620</v>
      </c>
      <c r="J23" s="189">
        <f>IF($E23="","",IF($E24="",SUM(H23:H$30),H23))</f>
        <v>173</v>
      </c>
      <c r="K23" s="192">
        <f>IF($E23="","",IF($E24="",SUM(I23:I$30),I23))</f>
        <v>4620</v>
      </c>
      <c r="L23" s="152">
        <f t="shared" si="3"/>
        <v>40</v>
      </c>
      <c r="M23" s="151">
        <f t="shared" si="4"/>
        <v>46539</v>
      </c>
      <c r="N23" s="151">
        <f t="shared" si="5"/>
        <v>46568</v>
      </c>
      <c r="O23" s="150">
        <f t="shared" si="21"/>
        <v>30</v>
      </c>
      <c r="P23" s="153">
        <f t="shared" si="6"/>
        <v>1</v>
      </c>
      <c r="Q23" s="154">
        <f t="shared" si="7"/>
        <v>8.3333333333333329E-2</v>
      </c>
      <c r="R23" s="155">
        <f t="shared" si="8"/>
        <v>173.33333333333334</v>
      </c>
      <c r="S23" s="156">
        <f t="shared" si="9"/>
        <v>27720</v>
      </c>
      <c r="T23" s="157">
        <f t="shared" si="10"/>
        <v>1038</v>
      </c>
      <c r="U23" s="157">
        <f t="shared" si="11"/>
        <v>1040</v>
      </c>
      <c r="V23" s="158">
        <f t="shared" si="22"/>
        <v>0.99807692307692308</v>
      </c>
      <c r="W23" s="159">
        <f>IF(M23="","",VLOOKUP($B$6,rekenwaarden!M$8:N$12,2))</f>
        <v>9.4499999999999993</v>
      </c>
      <c r="X23" s="160">
        <f t="shared" si="12"/>
        <v>1634.85</v>
      </c>
      <c r="Y23" s="160">
        <f t="shared" si="13"/>
        <v>9809.1</v>
      </c>
      <c r="Z23" s="160">
        <f>IF(M23="","", VLOOKUP(B$6,rekenwaarden!M$8:T$12,3)*Q23)</f>
        <v>6617.4166666666661</v>
      </c>
      <c r="AA23" s="160">
        <f t="shared" si="14"/>
        <v>39704.499999999993</v>
      </c>
      <c r="AB23" s="160">
        <f>IF(M23="","", VLOOKUP($B$6,rekenwaarden!M$8:T$12,4)*Q23)</f>
        <v>11483.333333333332</v>
      </c>
      <c r="AC23" s="160">
        <f t="shared" si="15"/>
        <v>68899.999999999985</v>
      </c>
      <c r="AD23" s="160">
        <f t="shared" si="16"/>
        <v>17910.900000000001</v>
      </c>
      <c r="AE23" s="160">
        <f t="shared" si="17"/>
        <v>2985.1500000000015</v>
      </c>
      <c r="AF23" s="160">
        <f t="shared" si="23"/>
        <v>0</v>
      </c>
      <c r="AG23" s="160">
        <f t="shared" si="18"/>
        <v>0</v>
      </c>
      <c r="AH23" s="161">
        <f t="shared" ca="1" si="19"/>
        <v>886.58955000000037</v>
      </c>
      <c r="AI23" s="161">
        <f t="shared" ca="1" si="24"/>
        <v>0</v>
      </c>
      <c r="AJ23" s="161"/>
      <c r="AK23" s="161"/>
      <c r="AL23" s="164">
        <f t="shared" ca="1" si="25"/>
        <v>886.58955000000037</v>
      </c>
    </row>
    <row r="24" spans="1:38" s="113" customFormat="1" ht="15.65" customHeight="1" x14ac:dyDescent="0.25">
      <c r="A24" s="249"/>
      <c r="B24" s="250"/>
      <c r="C24" s="200"/>
      <c r="D24" s="163">
        <f t="shared" si="20"/>
        <v>7</v>
      </c>
      <c r="E24" s="150" t="str">
        <f t="shared" si="20"/>
        <v>juli</v>
      </c>
      <c r="F24" s="151">
        <f t="shared" si="20"/>
        <v>46569</v>
      </c>
      <c r="G24" s="151">
        <f t="shared" si="20"/>
        <v>46599</v>
      </c>
      <c r="H24" s="188">
        <f t="shared" si="1"/>
        <v>173</v>
      </c>
      <c r="I24" s="191">
        <f t="shared" si="2"/>
        <v>4620</v>
      </c>
      <c r="J24" s="188">
        <f>IF($E24="","",IF($E25="",SUM(H24:H$30),H24))</f>
        <v>173</v>
      </c>
      <c r="K24" s="191">
        <f>IF($E24="","",IF($E25="",SUM(I24:I$30),I24))</f>
        <v>4620</v>
      </c>
      <c r="L24" s="152">
        <f t="shared" si="3"/>
        <v>40</v>
      </c>
      <c r="M24" s="151">
        <f t="shared" si="4"/>
        <v>46569</v>
      </c>
      <c r="N24" s="151">
        <f t="shared" si="5"/>
        <v>46599</v>
      </c>
      <c r="O24" s="150">
        <f t="shared" si="21"/>
        <v>31</v>
      </c>
      <c r="P24" s="153">
        <f t="shared" si="6"/>
        <v>1</v>
      </c>
      <c r="Q24" s="154">
        <f t="shared" si="7"/>
        <v>8.3333333333333329E-2</v>
      </c>
      <c r="R24" s="155">
        <f t="shared" si="8"/>
        <v>173.33333333333334</v>
      </c>
      <c r="S24" s="156">
        <f t="shared" si="9"/>
        <v>32340</v>
      </c>
      <c r="T24" s="157">
        <f t="shared" si="10"/>
        <v>1211</v>
      </c>
      <c r="U24" s="157">
        <f t="shared" si="11"/>
        <v>1213.3333333333333</v>
      </c>
      <c r="V24" s="158">
        <f t="shared" si="22"/>
        <v>0.99807692307692319</v>
      </c>
      <c r="W24" s="159">
        <f>IF(M24="","",VLOOKUP($B$6,rekenwaarden!M$8:N$12,2))</f>
        <v>9.4499999999999993</v>
      </c>
      <c r="X24" s="160">
        <f t="shared" si="12"/>
        <v>1634.85</v>
      </c>
      <c r="Y24" s="160">
        <f t="shared" si="13"/>
        <v>11443.95</v>
      </c>
      <c r="Z24" s="160">
        <f>IF(M24="","", VLOOKUP(B$6,rekenwaarden!M$8:T$12,3)*Q24)</f>
        <v>6617.4166666666661</v>
      </c>
      <c r="AA24" s="160">
        <f t="shared" si="14"/>
        <v>46321.916666666657</v>
      </c>
      <c r="AB24" s="160">
        <f>IF(M24="","", VLOOKUP($B$6,rekenwaarden!M$8:T$12,4)*Q24)</f>
        <v>11483.333333333332</v>
      </c>
      <c r="AC24" s="160">
        <f t="shared" si="15"/>
        <v>80383.333333333314</v>
      </c>
      <c r="AD24" s="160">
        <f t="shared" si="16"/>
        <v>20896.05</v>
      </c>
      <c r="AE24" s="160">
        <f t="shared" si="17"/>
        <v>2985.1499999999978</v>
      </c>
      <c r="AF24" s="160">
        <f t="shared" si="23"/>
        <v>0</v>
      </c>
      <c r="AG24" s="160">
        <f t="shared" si="18"/>
        <v>0</v>
      </c>
      <c r="AH24" s="161">
        <f t="shared" ca="1" si="19"/>
        <v>886.58954999999935</v>
      </c>
      <c r="AI24" s="161">
        <f t="shared" ca="1" si="24"/>
        <v>0</v>
      </c>
      <c r="AJ24" s="161"/>
      <c r="AK24" s="161"/>
      <c r="AL24" s="164">
        <f t="shared" ca="1" si="25"/>
        <v>886.58954999999935</v>
      </c>
    </row>
    <row r="25" spans="1:38" s="113" customFormat="1" ht="15.65" customHeight="1" x14ac:dyDescent="0.25">
      <c r="A25" s="249"/>
      <c r="B25" s="250"/>
      <c r="C25" s="200"/>
      <c r="D25" s="163">
        <f t="shared" si="20"/>
        <v>8</v>
      </c>
      <c r="E25" s="150" t="str">
        <f t="shared" si="20"/>
        <v>augustus</v>
      </c>
      <c r="F25" s="151">
        <f t="shared" si="20"/>
        <v>46600</v>
      </c>
      <c r="G25" s="151">
        <f t="shared" si="20"/>
        <v>46630</v>
      </c>
      <c r="H25" s="189">
        <f t="shared" si="1"/>
        <v>0</v>
      </c>
      <c r="I25" s="192">
        <f t="shared" si="2"/>
        <v>0</v>
      </c>
      <c r="J25" s="189">
        <f>IF($E25="","",IF($E26="",SUM(H25:H$30),H25))</f>
        <v>0</v>
      </c>
      <c r="K25" s="192">
        <f>IF($E25="","",IF($E26="",SUM(I25:I$30),I25))</f>
        <v>0</v>
      </c>
      <c r="L25" s="152">
        <f t="shared" si="3"/>
        <v>40</v>
      </c>
      <c r="M25" s="151">
        <f t="shared" si="4"/>
        <v>46600</v>
      </c>
      <c r="N25" s="151">
        <f t="shared" si="5"/>
        <v>46609</v>
      </c>
      <c r="O25" s="150">
        <f t="shared" si="21"/>
        <v>10</v>
      </c>
      <c r="P25" s="153">
        <f t="shared" si="6"/>
        <v>0.32258064516129031</v>
      </c>
      <c r="Q25" s="154">
        <f t="shared" si="7"/>
        <v>2.6881720430107527E-2</v>
      </c>
      <c r="R25" s="155">
        <f t="shared" si="8"/>
        <v>55.913978494623656</v>
      </c>
      <c r="S25" s="156">
        <f t="shared" si="9"/>
        <v>32340</v>
      </c>
      <c r="T25" s="157">
        <f t="shared" si="10"/>
        <v>1211</v>
      </c>
      <c r="U25" s="157">
        <f t="shared" si="11"/>
        <v>1269.247311827957</v>
      </c>
      <c r="V25" s="158">
        <f t="shared" si="22"/>
        <v>0.95410877668586924</v>
      </c>
      <c r="W25" s="159">
        <f>IF(M25="","",VLOOKUP($B$6,rekenwaarden!M$8:N$12,2))</f>
        <v>9.4499999999999993</v>
      </c>
      <c r="X25" s="160">
        <f t="shared" si="12"/>
        <v>0</v>
      </c>
      <c r="Y25" s="160">
        <f t="shared" si="13"/>
        <v>11443.95</v>
      </c>
      <c r="Z25" s="160">
        <f>IF(M25="","", VLOOKUP(B$6,rekenwaarden!M$8:T$12,3)*Q25)</f>
        <v>2134.6505376344085</v>
      </c>
      <c r="AA25" s="160">
        <f t="shared" si="14"/>
        <v>48456.567204301064</v>
      </c>
      <c r="AB25" s="160">
        <f>IF(M25="","", VLOOKUP($B$6,rekenwaarden!M$8:T$12,4)*Q25)</f>
        <v>3704.3010752688174</v>
      </c>
      <c r="AC25" s="160">
        <f t="shared" si="15"/>
        <v>84087.634408602127</v>
      </c>
      <c r="AD25" s="160">
        <f t="shared" si="16"/>
        <v>20896.05</v>
      </c>
      <c r="AE25" s="160">
        <f t="shared" si="17"/>
        <v>0</v>
      </c>
      <c r="AF25" s="160">
        <f t="shared" si="23"/>
        <v>0</v>
      </c>
      <c r="AG25" s="160">
        <f t="shared" si="18"/>
        <v>0</v>
      </c>
      <c r="AH25" s="161">
        <f t="shared" ca="1" si="19"/>
        <v>0</v>
      </c>
      <c r="AI25" s="161">
        <f t="shared" ca="1" si="24"/>
        <v>0</v>
      </c>
      <c r="AJ25" s="161"/>
      <c r="AK25" s="161"/>
      <c r="AL25" s="164">
        <f t="shared" ca="1" si="25"/>
        <v>0</v>
      </c>
    </row>
    <row r="26" spans="1:38" s="113" customFormat="1" ht="15.65" customHeight="1" x14ac:dyDescent="0.25">
      <c r="A26" s="125"/>
      <c r="B26" s="126"/>
      <c r="C26" s="200"/>
      <c r="D26" s="163" t="str">
        <f t="shared" si="20"/>
        <v/>
      </c>
      <c r="E26" s="150" t="str">
        <f t="shared" si="20"/>
        <v/>
      </c>
      <c r="F26" s="151" t="str">
        <f t="shared" si="20"/>
        <v/>
      </c>
      <c r="G26" s="151" t="str">
        <f t="shared" si="20"/>
        <v/>
      </c>
      <c r="H26" s="188" t="str">
        <f t="shared" si="1"/>
        <v/>
      </c>
      <c r="I26" s="191" t="str">
        <f t="shared" si="2"/>
        <v/>
      </c>
      <c r="J26" s="188" t="str">
        <f>IF($E26="","",IF($E27="",SUM(H26:H$30),H26))</f>
        <v/>
      </c>
      <c r="K26" s="191" t="str">
        <f>IF($E26="","",IF($E27="",SUM(I26:I$30),I26))</f>
        <v/>
      </c>
      <c r="L26" s="152" t="str">
        <f t="shared" si="3"/>
        <v/>
      </c>
      <c r="M26" s="151" t="str">
        <f t="shared" si="4"/>
        <v/>
      </c>
      <c r="N26" s="151" t="str">
        <f t="shared" si="5"/>
        <v/>
      </c>
      <c r="O26" s="150" t="str">
        <f t="shared" si="21"/>
        <v/>
      </c>
      <c r="P26" s="153" t="str">
        <f t="shared" si="6"/>
        <v/>
      </c>
      <c r="Q26" s="154" t="str">
        <f t="shared" si="7"/>
        <v/>
      </c>
      <c r="R26" s="155" t="str">
        <f t="shared" si="8"/>
        <v/>
      </c>
      <c r="S26" s="156" t="str">
        <f t="shared" si="9"/>
        <v/>
      </c>
      <c r="T26" s="157" t="str">
        <f t="shared" si="10"/>
        <v/>
      </c>
      <c r="U26" s="157" t="str">
        <f t="shared" si="11"/>
        <v/>
      </c>
      <c r="V26" s="158" t="str">
        <f t="shared" si="22"/>
        <v/>
      </c>
      <c r="W26" s="159" t="str">
        <f>IF(M26="","",VLOOKUP($B$6,rekenwaarden!M$8:N$12,2))</f>
        <v/>
      </c>
      <c r="X26" s="160" t="str">
        <f t="shared" si="12"/>
        <v/>
      </c>
      <c r="Y26" s="160" t="str">
        <f t="shared" si="13"/>
        <v/>
      </c>
      <c r="Z26" s="160" t="str">
        <f>IF(M26="","", VLOOKUP(B$6,rekenwaarden!M$8:T$12,3)*Q26)</f>
        <v/>
      </c>
      <c r="AA26" s="160" t="str">
        <f t="shared" si="14"/>
        <v/>
      </c>
      <c r="AB26" s="160" t="str">
        <f>IF(M26="","", VLOOKUP($B$6,rekenwaarden!M$8:T$12,4)*Q26)</f>
        <v/>
      </c>
      <c r="AC26" s="160" t="str">
        <f t="shared" si="15"/>
        <v/>
      </c>
      <c r="AD26" s="160" t="str">
        <f t="shared" si="16"/>
        <v/>
      </c>
      <c r="AE26" s="160" t="str">
        <f t="shared" si="17"/>
        <v/>
      </c>
      <c r="AF26" s="160" t="str">
        <f t="shared" si="23"/>
        <v/>
      </c>
      <c r="AG26" s="160" t="str">
        <f t="shared" si="18"/>
        <v/>
      </c>
      <c r="AH26" s="161" t="str">
        <f t="shared" ca="1" si="19"/>
        <v/>
      </c>
      <c r="AI26" s="161" t="str">
        <f t="shared" ca="1" si="24"/>
        <v/>
      </c>
      <c r="AJ26" s="161"/>
      <c r="AK26" s="161"/>
      <c r="AL26" s="164" t="str">
        <f t="shared" si="25"/>
        <v/>
      </c>
    </row>
    <row r="27" spans="1:38" s="113" customFormat="1" ht="15.65" customHeight="1" x14ac:dyDescent="0.25">
      <c r="A27" s="125"/>
      <c r="B27" s="126"/>
      <c r="C27" s="200"/>
      <c r="D27" s="163" t="str">
        <f t="shared" si="20"/>
        <v/>
      </c>
      <c r="E27" s="150" t="str">
        <f t="shared" si="20"/>
        <v/>
      </c>
      <c r="F27" s="151" t="str">
        <f t="shared" si="20"/>
        <v/>
      </c>
      <c r="G27" s="151" t="str">
        <f t="shared" si="20"/>
        <v/>
      </c>
      <c r="H27" s="189" t="str">
        <f t="shared" si="1"/>
        <v/>
      </c>
      <c r="I27" s="192" t="str">
        <f t="shared" si="2"/>
        <v/>
      </c>
      <c r="J27" s="189" t="str">
        <f>IF($E27="","",IF($E28="",SUM(H27:H$30),H27))</f>
        <v/>
      </c>
      <c r="K27" s="192" t="str">
        <f>IF($E27="","",IF($E28="",SUM(I27:I$30),I27))</f>
        <v/>
      </c>
      <c r="L27" s="152" t="str">
        <f t="shared" si="3"/>
        <v/>
      </c>
      <c r="M27" s="151" t="str">
        <f t="shared" si="4"/>
        <v/>
      </c>
      <c r="N27" s="151" t="str">
        <f t="shared" si="5"/>
        <v/>
      </c>
      <c r="O27" s="150" t="str">
        <f t="shared" si="21"/>
        <v/>
      </c>
      <c r="P27" s="153" t="str">
        <f t="shared" si="6"/>
        <v/>
      </c>
      <c r="Q27" s="154" t="str">
        <f t="shared" si="7"/>
        <v/>
      </c>
      <c r="R27" s="155" t="str">
        <f t="shared" si="8"/>
        <v/>
      </c>
      <c r="S27" s="156" t="str">
        <f t="shared" si="9"/>
        <v/>
      </c>
      <c r="T27" s="157" t="str">
        <f t="shared" si="10"/>
        <v/>
      </c>
      <c r="U27" s="157" t="str">
        <f t="shared" si="11"/>
        <v/>
      </c>
      <c r="V27" s="158" t="str">
        <f t="shared" si="22"/>
        <v/>
      </c>
      <c r="W27" s="159" t="str">
        <f>IF(M27="","",VLOOKUP($B$6,rekenwaarden!M$8:N$12,2))</f>
        <v/>
      </c>
      <c r="X27" s="160" t="str">
        <f t="shared" si="12"/>
        <v/>
      </c>
      <c r="Y27" s="160" t="str">
        <f t="shared" si="13"/>
        <v/>
      </c>
      <c r="Z27" s="160" t="str">
        <f>IF(M27="","", VLOOKUP(B$6,rekenwaarden!M$8:T$12,3)*Q27)</f>
        <v/>
      </c>
      <c r="AA27" s="160" t="str">
        <f t="shared" si="14"/>
        <v/>
      </c>
      <c r="AB27" s="160" t="str">
        <f>IF(M27="","", VLOOKUP($B$6,rekenwaarden!M$8:T$12,4)*Q27)</f>
        <v/>
      </c>
      <c r="AC27" s="160" t="str">
        <f t="shared" si="15"/>
        <v/>
      </c>
      <c r="AD27" s="160" t="str">
        <f t="shared" si="16"/>
        <v/>
      </c>
      <c r="AE27" s="160" t="str">
        <f t="shared" si="17"/>
        <v/>
      </c>
      <c r="AF27" s="160" t="str">
        <f t="shared" si="23"/>
        <v/>
      </c>
      <c r="AG27" s="160" t="str">
        <f t="shared" si="18"/>
        <v/>
      </c>
      <c r="AH27" s="161" t="str">
        <f t="shared" ca="1" si="19"/>
        <v/>
      </c>
      <c r="AI27" s="161" t="str">
        <f t="shared" ca="1" si="24"/>
        <v/>
      </c>
      <c r="AJ27" s="161"/>
      <c r="AK27" s="161"/>
      <c r="AL27" s="164" t="str">
        <f t="shared" si="25"/>
        <v/>
      </c>
    </row>
    <row r="28" spans="1:38" s="113" customFormat="1" ht="15.65" customHeight="1" x14ac:dyDescent="0.25">
      <c r="A28" s="125"/>
      <c r="B28" s="126"/>
      <c r="C28" s="200"/>
      <c r="D28" s="163" t="str">
        <f t="shared" si="20"/>
        <v/>
      </c>
      <c r="E28" s="150" t="str">
        <f t="shared" si="20"/>
        <v/>
      </c>
      <c r="F28" s="151" t="str">
        <f t="shared" si="20"/>
        <v/>
      </c>
      <c r="G28" s="151" t="str">
        <f t="shared" si="20"/>
        <v/>
      </c>
      <c r="H28" s="188" t="str">
        <f t="shared" si="1"/>
        <v/>
      </c>
      <c r="I28" s="191" t="str">
        <f t="shared" si="2"/>
        <v/>
      </c>
      <c r="J28" s="188" t="str">
        <f>IF($E28="","",IF($E29="",SUM(H28:H$30),H28))</f>
        <v/>
      </c>
      <c r="K28" s="191" t="str">
        <f>IF($E28="","",IF($E29="",SUM(I28:I$30),I28))</f>
        <v/>
      </c>
      <c r="L28" s="152" t="str">
        <f t="shared" si="3"/>
        <v/>
      </c>
      <c r="M28" s="151" t="str">
        <f t="shared" si="4"/>
        <v/>
      </c>
      <c r="N28" s="151" t="str">
        <f t="shared" si="5"/>
        <v/>
      </c>
      <c r="O28" s="150" t="str">
        <f t="shared" si="21"/>
        <v/>
      </c>
      <c r="P28" s="153" t="str">
        <f t="shared" si="6"/>
        <v/>
      </c>
      <c r="Q28" s="154" t="str">
        <f t="shared" si="7"/>
        <v/>
      </c>
      <c r="R28" s="155" t="str">
        <f t="shared" si="8"/>
        <v/>
      </c>
      <c r="S28" s="156" t="str">
        <f t="shared" si="9"/>
        <v/>
      </c>
      <c r="T28" s="157" t="str">
        <f t="shared" si="10"/>
        <v/>
      </c>
      <c r="U28" s="157" t="str">
        <f t="shared" si="11"/>
        <v/>
      </c>
      <c r="V28" s="158" t="str">
        <f t="shared" si="22"/>
        <v/>
      </c>
      <c r="W28" s="159" t="str">
        <f>IF(M28="","",VLOOKUP($B$6,rekenwaarden!M$8:N$12,2))</f>
        <v/>
      </c>
      <c r="X28" s="160" t="str">
        <f t="shared" si="12"/>
        <v/>
      </c>
      <c r="Y28" s="160" t="str">
        <f t="shared" si="13"/>
        <v/>
      </c>
      <c r="Z28" s="160" t="str">
        <f>IF(M28="","", VLOOKUP(B$6,rekenwaarden!M$8:T$12,3)*Q28)</f>
        <v/>
      </c>
      <c r="AA28" s="160" t="str">
        <f t="shared" si="14"/>
        <v/>
      </c>
      <c r="AB28" s="160" t="str">
        <f>IF(M28="","", VLOOKUP($B$6,rekenwaarden!M$8:T$12,4)*Q28)</f>
        <v/>
      </c>
      <c r="AC28" s="160" t="str">
        <f t="shared" si="15"/>
        <v/>
      </c>
      <c r="AD28" s="160" t="str">
        <f t="shared" si="16"/>
        <v/>
      </c>
      <c r="AE28" s="160" t="str">
        <f t="shared" si="17"/>
        <v/>
      </c>
      <c r="AF28" s="160" t="str">
        <f t="shared" si="23"/>
        <v/>
      </c>
      <c r="AG28" s="160" t="str">
        <f t="shared" si="18"/>
        <v/>
      </c>
      <c r="AH28" s="161" t="str">
        <f t="shared" ca="1" si="19"/>
        <v/>
      </c>
      <c r="AI28" s="161" t="str">
        <f t="shared" ca="1" si="24"/>
        <v/>
      </c>
      <c r="AJ28" s="161"/>
      <c r="AK28" s="161"/>
      <c r="AL28" s="164" t="str">
        <f t="shared" si="25"/>
        <v/>
      </c>
    </row>
    <row r="29" spans="1:38" s="113" customFormat="1" ht="15.65" customHeight="1" x14ac:dyDescent="0.25">
      <c r="A29" s="125"/>
      <c r="B29" s="126"/>
      <c r="C29" s="200"/>
      <c r="D29" s="163" t="str">
        <f t="shared" si="20"/>
        <v/>
      </c>
      <c r="E29" s="150" t="str">
        <f t="shared" si="20"/>
        <v/>
      </c>
      <c r="F29" s="151" t="str">
        <f t="shared" si="20"/>
        <v/>
      </c>
      <c r="G29" s="151" t="str">
        <f t="shared" si="20"/>
        <v/>
      </c>
      <c r="H29" s="189" t="str">
        <f t="shared" si="1"/>
        <v/>
      </c>
      <c r="I29" s="192" t="str">
        <f t="shared" si="2"/>
        <v/>
      </c>
      <c r="J29" s="189" t="str">
        <f>IF($E29="","",IF($E30="",SUM(H29:H$30),H29))</f>
        <v/>
      </c>
      <c r="K29" s="192" t="str">
        <f>IF($E29="","",IF($E30="",SUM(I29:I$30),I29))</f>
        <v/>
      </c>
      <c r="L29" s="152" t="str">
        <f t="shared" si="3"/>
        <v/>
      </c>
      <c r="M29" s="151" t="str">
        <f t="shared" si="4"/>
        <v/>
      </c>
      <c r="N29" s="151" t="str">
        <f t="shared" si="5"/>
        <v/>
      </c>
      <c r="O29" s="150" t="str">
        <f t="shared" si="21"/>
        <v/>
      </c>
      <c r="P29" s="153" t="str">
        <f t="shared" si="6"/>
        <v/>
      </c>
      <c r="Q29" s="154" t="str">
        <f t="shared" si="7"/>
        <v/>
      </c>
      <c r="R29" s="155" t="str">
        <f t="shared" si="8"/>
        <v/>
      </c>
      <c r="S29" s="156" t="str">
        <f t="shared" si="9"/>
        <v/>
      </c>
      <c r="T29" s="157" t="str">
        <f t="shared" si="10"/>
        <v/>
      </c>
      <c r="U29" s="157" t="str">
        <f t="shared" si="11"/>
        <v/>
      </c>
      <c r="V29" s="158" t="str">
        <f t="shared" si="22"/>
        <v/>
      </c>
      <c r="W29" s="159" t="str">
        <f>IF(M29="","",VLOOKUP($B$6,rekenwaarden!M$8:N$12,2))</f>
        <v/>
      </c>
      <c r="X29" s="160" t="str">
        <f t="shared" si="12"/>
        <v/>
      </c>
      <c r="Y29" s="160" t="str">
        <f t="shared" si="13"/>
        <v/>
      </c>
      <c r="Z29" s="160" t="str">
        <f>IF(M29="","", VLOOKUP(B$6,rekenwaarden!M$8:T$12,3)*Q29)</f>
        <v/>
      </c>
      <c r="AA29" s="160" t="str">
        <f t="shared" si="14"/>
        <v/>
      </c>
      <c r="AB29" s="160" t="str">
        <f>IF(M29="","", VLOOKUP($B$6,rekenwaarden!M$8:T$12,4)*Q29)</f>
        <v/>
      </c>
      <c r="AC29" s="160" t="str">
        <f t="shared" si="15"/>
        <v/>
      </c>
      <c r="AD29" s="160" t="str">
        <f t="shared" si="16"/>
        <v/>
      </c>
      <c r="AE29" s="160" t="str">
        <f t="shared" si="17"/>
        <v/>
      </c>
      <c r="AF29" s="160" t="str">
        <f t="shared" si="23"/>
        <v/>
      </c>
      <c r="AG29" s="160" t="str">
        <f t="shared" si="18"/>
        <v/>
      </c>
      <c r="AH29" s="161" t="str">
        <f t="shared" ca="1" si="19"/>
        <v/>
      </c>
      <c r="AI29" s="161" t="str">
        <f t="shared" ca="1" si="24"/>
        <v/>
      </c>
      <c r="AJ29" s="161"/>
      <c r="AK29" s="161"/>
      <c r="AL29" s="164" t="str">
        <f t="shared" si="25"/>
        <v/>
      </c>
    </row>
    <row r="30" spans="1:38" s="113" customFormat="1" ht="15.65" customHeight="1" thickBot="1" x14ac:dyDescent="0.3">
      <c r="A30" s="129"/>
      <c r="B30" s="130"/>
      <c r="C30" s="200"/>
      <c r="D30" s="165" t="str">
        <f t="shared" si="20"/>
        <v/>
      </c>
      <c r="E30" s="166" t="str">
        <f t="shared" si="20"/>
        <v/>
      </c>
      <c r="F30" s="167" t="str">
        <f t="shared" si="20"/>
        <v/>
      </c>
      <c r="G30" s="167" t="str">
        <f t="shared" si="20"/>
        <v/>
      </c>
      <c r="H30" s="190" t="str">
        <f t="shared" si="1"/>
        <v/>
      </c>
      <c r="I30" s="193" t="str">
        <f t="shared" si="2"/>
        <v/>
      </c>
      <c r="J30" s="190" t="str">
        <f>IF($E30="","",IF($E31="",SUM(H30:H$30),H30))</f>
        <v/>
      </c>
      <c r="K30" s="193" t="str">
        <f>IF($E30="","",IF($E31="",SUM(I30:I$30),I30))</f>
        <v/>
      </c>
      <c r="L30" s="168" t="str">
        <f t="shared" si="3"/>
        <v/>
      </c>
      <c r="M30" s="167" t="str">
        <f t="shared" si="4"/>
        <v/>
      </c>
      <c r="N30" s="167" t="str">
        <f t="shared" si="5"/>
        <v/>
      </c>
      <c r="O30" s="166" t="str">
        <f t="shared" si="21"/>
        <v/>
      </c>
      <c r="P30" s="169" t="str">
        <f t="shared" si="6"/>
        <v/>
      </c>
      <c r="Q30" s="183" t="str">
        <f t="shared" si="7"/>
        <v/>
      </c>
      <c r="R30" s="170" t="str">
        <f t="shared" si="8"/>
        <v/>
      </c>
      <c r="S30" s="171" t="str">
        <f t="shared" si="9"/>
        <v/>
      </c>
      <c r="T30" s="172" t="str">
        <f t="shared" si="10"/>
        <v/>
      </c>
      <c r="U30" s="172" t="str">
        <f t="shared" si="11"/>
        <v/>
      </c>
      <c r="V30" s="172" t="str">
        <f t="shared" si="22"/>
        <v/>
      </c>
      <c r="W30" s="173" t="str">
        <f>IF(M30="","",VLOOKUP($B$6,rekenwaarden!M$8:N$12,2))</f>
        <v/>
      </c>
      <c r="X30" s="174" t="str">
        <f t="shared" si="12"/>
        <v/>
      </c>
      <c r="Y30" s="174" t="str">
        <f t="shared" si="13"/>
        <v/>
      </c>
      <c r="Z30" s="174" t="str">
        <f>IF(M30="","", VLOOKUP(B$6,rekenwaarden!M$8:T$12,3)*Q30)</f>
        <v/>
      </c>
      <c r="AA30" s="174" t="str">
        <f t="shared" si="14"/>
        <v/>
      </c>
      <c r="AB30" s="174" t="str">
        <f>IF(M30="","", VLOOKUP($B$6,rekenwaarden!M$8:T$12,4)*Q30)</f>
        <v/>
      </c>
      <c r="AC30" s="174" t="str">
        <f t="shared" si="15"/>
        <v/>
      </c>
      <c r="AD30" s="174" t="str">
        <f t="shared" si="16"/>
        <v/>
      </c>
      <c r="AE30" s="174" t="str">
        <f t="shared" si="17"/>
        <v/>
      </c>
      <c r="AF30" s="174" t="str">
        <f t="shared" si="23"/>
        <v/>
      </c>
      <c r="AG30" s="174" t="str">
        <f t="shared" si="18"/>
        <v/>
      </c>
      <c r="AH30" s="175" t="str">
        <f t="shared" ca="1" si="19"/>
        <v/>
      </c>
      <c r="AI30" s="175" t="str">
        <f t="shared" ca="1" si="24"/>
        <v/>
      </c>
      <c r="AJ30" s="175"/>
      <c r="AK30" s="175"/>
      <c r="AL30" s="176" t="str">
        <f t="shared" si="25"/>
        <v/>
      </c>
    </row>
  </sheetData>
  <sheetProtection algorithmName="SHA-512" hashValue="CHY8rAU6WlZ/GGFKQnKC8AsV5mM/r9N37rDEWT3jFj57z2kVFGf1H/kRlZd4KdNvSfxhJzdEZSgAQmz6Dppiiw==" saltValue="jDldRVwWql8Ac2gjd8HO9w==" spinCount="100000" sheet="1" objects="1" scenarios="1"/>
  <protectedRanges>
    <protectedRange sqref="K2:U14" name="Loonaangiftebericht"/>
    <protectedRange sqref="B1:B9" name="Persoon en IKV"/>
  </protectedRanges>
  <mergeCells count="3">
    <mergeCell ref="A11:B11"/>
    <mergeCell ref="A12:B25"/>
    <mergeCell ref="D17:E17"/>
  </mergeCells>
  <dataValidations count="8">
    <dataValidation type="whole" allowBlank="1" showInputMessage="1" showErrorMessage="1" promptTitle="Handboek Loonheffingen: " prompt="Rekenkundig afgeronde hele uren" sqref="N2:N14" xr:uid="{91D8C7A6-E7BA-4E43-8146-BE614BEB1855}">
      <formula1>-999</formula1>
      <formula2>999</formula2>
    </dataValidation>
    <dataValidation type="list" allowBlank="1" showInputMessage="1" showErrorMessage="1" sqref="K2:K14" xr:uid="{BCDBEA0E-7236-4144-A399-0A01605B4189}">
      <formula1>Code_Reden_Einde_Arbeidsverhouding</formula1>
    </dataValidation>
    <dataValidation type="list" allowBlank="1" showInputMessage="1" showErrorMessage="1" sqref="M2:M14" xr:uid="{AB82F3F4-2F14-4B59-8AB0-438AFC5BA4F6}">
      <formula1>Code_Aard_Arbeidsverhouding</formula1>
    </dataValidation>
    <dataValidation type="list" allowBlank="1" showInputMessage="1" showErrorMessage="1" sqref="L2:L14" xr:uid="{1A138A33-3582-45D6-8476-0ED479C66C3D}">
      <formula1>Code_Soort_IKV</formula1>
    </dataValidation>
    <dataValidation type="list" allowBlank="1" showInputMessage="1" showErrorMessage="1" sqref="C2" xr:uid="{A313839E-53AB-432E-8370-0C7263C45E3D}">
      <formula1>"maandelijks,vierwekelijks"</formula1>
    </dataValidation>
    <dataValidation type="list" allowBlank="1" showInputMessage="1" showErrorMessage="1" sqref="B1:C1" xr:uid="{23AF34F3-55F5-42E1-B15B-EF6F4FEFFAB2}">
      <formula1>"2027,2028"</formula1>
    </dataValidation>
    <dataValidation type="list" allowBlank="1" showInputMessage="1" showErrorMessage="1" sqref="B8:C8" xr:uid="{FC0B4A53-317B-4885-8D1C-EA114AFDBA41}">
      <formula1>"WAAR,NIET WAAR"</formula1>
    </dataValidation>
    <dataValidation type="list" allowBlank="1" showInputMessage="1" showErrorMessage="1" sqref="B2" xr:uid="{15F1D7AC-CC28-4392-AF68-DB54895B5454}">
      <formula1>"Maandelijks,Vierwekelijks"</formula1>
    </dataValidation>
  </dataValidations>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8515D88-E498-44E2-8714-4219328A9109}">
          <x14:formula1>
            <xm:f>rekenwaarden!$M$8:$M$12</xm:f>
          </x14:formula1>
          <xm:sqref>B6:C6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M 0 D A A B Q S w M E F A A C A A g A J G f w X L N p T S q l A A A A 9 g A A A B I A H A B D b 2 5 m a W c v U G F j a 2 F n Z S 5 4 b W w g o h g A K K A U A A A A A A A A A A A A A A A A A A A A A A A A A A A A h Y + x D o I w G I R f h X S n L a i B k F I G V z A m J s a 1 K R U a 4 c f Q Y n k 3 B x / J V x C j q J v j 3 X 2 X 3 N 2 v N 5 a N b e N d V G 9 0 B y k K M E W e A t m V G q o U D f b o x y j j b C v k S V T K m 2 A w y W h 0 i m p r z w k h z j n s F r j r K x J S G p B D k e 9 k r V r h a z B W g F T o 0 y r / t x B n + 9 c Y H u J g t c R R F G P K y G y y Q s M X C K e 9 z / T H Z O u h s U O v O D T + J m d k l o y 8 P / A H U E s D B B Q A A g A I A C R n 8 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k Z / B c Z F b r T 8 Y A A A A j A Q A A E w A c A E Z v c m 1 1 b G F z L 1 N l Y 3 R p b 2 4 x L m 0 g o h g A K K A U A A A A A A A A A A A A A A A A A A A A A A A A A A A A d Y 4 9 C 8 J A D I b 3 Q v 9 D O B e F U h D F R b p Y H H Q Q w Y K D O J x e r G e v O U l P / C j 9 7 9 7 R U c w S y P M k b x o 8 O 2 0 J d n 0 f z + M o j p q r Z F Q w E N M n V k g C M j D o 4 g h 8 L d j b G S x f Z z R p / m B G c n v L 1 c n a a j h q D x t Z Y y Y K e U I z E c f u k F t y X j k m / f p A F O 8 7 Q o l P f f v o U o X b X j a Y F i y p u V i u c 2 s e N Q W t G Y a 0 p G 3 F W k o W C a z I z a Z p Q F 0 C r d g i a 6 v w F y y w 1 O T H L m Q p 6 d D p u i d L T e o H d K M 4 0 v T n w f k X U E s B A i 0 A F A A C A A g A J G f w X L N p T S q l A A A A 9 g A A A B I A A A A A A A A A A A A A A A A A A A A A A E N v b m Z p Z y 9 Q Y W N r Y W d l L n h t b F B L A Q I t A B Q A A g A I A C R n 8 F w P y u m r p A A A A O k A A A A T A A A A A A A A A A A A A A A A A P E A A A B b Q 2 9 u d G V u d F 9 U e X B l c 1 0 u e G 1 s U E s B A i 0 A F A A C A A g A J G f w X G R W 6 0 / G A A A A I w E A A B M A A A A A A A A A A A A A A A A A 4 g E A A E Z v c m 1 1 b G F z L 1 N l Y 3 R p b 2 4 x L m 1 Q S w U G A A A A A A M A A w D C A A A A 9 Q 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1 w k A A A A A A A C 1 C 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N H d l a 2 V u P C 9 J d G V t U G F 0 a D 4 8 L 0 l 0 Z W 1 M b 2 N h d G l v b j 4 8 U 3 R h Y m x l R W 5 0 c m l l c z 4 8 R W 5 0 c n k g V H l w Z T 0 i S X N Q c m l 2 Y X R l I i B W Y W x 1 Z T 0 i b D A i I C 8 + P E V u d H J 5 I F R 5 c G U 9 I l F 1 Z X J 5 S U Q i I F Z h b H V l P S J z N z Q 3 Z m Q 3 O W Y t Z j c 5 Z C 0 0 N m E 3 L W F h Y 2 Y t N j c 2 Z D g 5 M j I x Z D I 1 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I 2 L T A 3 L T E 2 V D E w O j U 2 O j M 1 L j c 5 M T I y N D l a I i A v P j x F b n R y e S B U e X B l P S J G a W x s Q 2 9 s d W 1 u V H l w Z X M i I F Z h b H V l P S J z Q X d N S E J 3 P T 0 i I C 8 + P E V u d H J 5 I F R 5 c G U 9 I k Z p b G x D b 2 x 1 b W 5 O Y W 1 l c y I g V m F s d W U 9 I n N b J n F 1 b 3 Q 7 S m F h c i Z x d W 9 0 O y w m c X V v d D t Q Z X J p b 2 R l J n F 1 b 3 Q 7 L C Z x d W 9 0 O 0 J l Z 2 l u J n F 1 b 3 Q 7 L C Z x d W 9 0 O 0 V p b m Q 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8 0 d 2 V r Z W 4 v Q X V 0 b 1 J l b W 9 2 Z W R D b 2 x 1 b W 5 z M S 5 7 S m F h c i w w f S Z x d W 9 0 O y w m c X V v d D t T Z W N 0 a W 9 u M S 8 0 d 2 V r Z W 4 v Q X V 0 b 1 J l b W 9 2 Z W R D b 2 x 1 b W 5 z M S 5 7 U G V y a W 9 k Z S w x f S Z x d W 9 0 O y w m c X V v d D t T Z W N 0 a W 9 u M S 8 0 d 2 V r Z W 4 v Q X V 0 b 1 J l b W 9 2 Z W R D b 2 x 1 b W 5 z M S 5 7 Q m V n a W 4 s M n 0 m c X V v d D s s J n F 1 b 3 Q 7 U 2 V j d G l v b j E v N H d l a 2 V u L 0 F 1 d G 9 S Z W 1 v d m V k Q 2 9 s d W 1 u c z E u e 0 V p b m Q s M 3 0 m c X V v d D t d L C Z x d W 9 0 O 0 N v b H V t b k N v d W 5 0 J n F 1 b 3 Q 7 O j Q s J n F 1 b 3 Q 7 S 2 V 5 Q 2 9 s d W 1 u T m F t Z X M m c X V v d D s 6 W 1 0 s J n F 1 b 3 Q 7 Q 2 9 s d W 1 u S W R l b n R p d G l l c y Z x d W 9 0 O z p b J n F 1 b 3 Q 7 U 2 V j d G l v b j E v N H d l a 2 V u L 0 F 1 d G 9 S Z W 1 v d m V k Q 2 9 s d W 1 u c z E u e 0 p h Y X I s M H 0 m c X V v d D s s J n F 1 b 3 Q 7 U 2 V j d G l v b j E v N H d l a 2 V u L 0 F 1 d G 9 S Z W 1 v d m V k Q 2 9 s d W 1 u c z E u e 1 B l c m l v Z G U s M X 0 m c X V v d D s s J n F 1 b 3 Q 7 U 2 V j d G l v b j E v N H d l a 2 V u L 0 F 1 d G 9 S Z W 1 v d m V k Q 2 9 s d W 1 u c z E u e 0 J l Z 2 l u L D J 9 J n F 1 b 3 Q 7 L C Z x d W 9 0 O 1 N l Y 3 R p b 2 4 x L z R 3 Z W t l b i 9 B d X R v U m V t b 3 Z l Z E N v b H V t b n M x L n t F a W 5 k L D N 9 J n F 1 b 3 Q 7 X S w m c X V v d D t S Z W x h d G l v b n N o a X B J b m Z v J n F 1 b 3 Q 7 O l t d f S I g L z 4 8 L 1 N 0 Y W J s Z U V u d H J p Z X M + P C 9 J d G V t P j x J d G V t P j x J d G V t T G 9 j Y X R p b 2 4 + P E l 0 Z W 1 U e X B l P k Z v c m 1 1 b G E 8 L 0 l 0 Z W 1 U e X B l P j x J d G V t U G F 0 a D 5 T Z W N 0 a W 9 u M S 8 0 d 2 V r Z W 4 v Q n J v b j w v S X R l b V B h d G g + P C 9 J d G V t T G 9 j Y X R p b 2 4 + P F N 0 Y W J s Z U V u d H J p Z X M g L z 4 8 L 0 l 0 Z W 0 + P E l 0 Z W 0 + P E l 0 Z W 1 M b 2 N h d G l v b j 4 8 S X R l b V R 5 c G U + R m 9 y b X V s Y T w v S X R l b V R 5 c G U + P E l 0 Z W 1 Q Y X R o P l N l Y 3 R p b 2 4 x L z R 3 Z W t l b i 9 U e X B l J T I w Z 2 V 3 a W p 6 a W d k P C 9 J d G V t U G F 0 a D 4 8 L 0 l 0 Z W 1 M b 2 N h d G l v b j 4 8 U 3 R h Y m x l R W 5 0 c m l l c y A v P j w v S X R l b T 4 8 L 0 l 0 Z W 1 z P j w v T G 9 j Y W x Q Y W N r Y W d l T W V 0 Y W R h d G F G a W x l P h Y A A A B Q S w U G A A A A A A A A A A A A A A A A A A A A A A A A J g E A A A E A A A D Q j J 3 f A R X R E Y x 6 A M B P w p f r A Q A A A A Q b E f u x W b 1 M o v 4 U 6 B X L D 7 4 A A A A A A g A A A A A A E G Y A A A A B A A A g A A A A 9 O Z 6 + 3 S 6 8 H q 3 Q v P t w R y N v t 3 Y Q K e T 6 P S r O j s D 3 J l A D s I A A A A A D o A A A A A C A A A g A A A A f d / B + E n t 5 G / 1 N Y F o E n T + 3 N Y Z x B X m K 1 o U A w 6 9 M 0 i k P 9 B Q A A A A 2 Y P P 0 3 9 w k u c A r M D Q r 7 H H b 2 y P f b A d 7 u X N O a m B H h m q l j s O s a 2 t Y N w R s 3 8 I W z t a c b V B 2 Y 8 k + a w i 4 s A r u 6 H l 1 k 5 K q f y J h A 2 f v b N F s J 6 c 2 n Z 8 m F N A A A A A 9 V 8 B i L 6 j y V N 5 M l 0 a i t 4 a t p 2 U x n Y e s V O 6 U 8 N d r h c V T 7 G J s c h h 4 s 9 9 X x w G X W D w W 2 h 7 o l L A y 3 6 Q m U 0 c k w A 8 t H S F L w = = < / 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cde4b0b2-2ef5-4d08-86ae-ead197035192" xsi:nil="true"/>
    <lcf76f155ced4ddcb4097134ff3c332f xmlns="d5259957-f353-4b73-92df-8c50cc8a021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C9454BF281D4488F35C877B53EAB78" ma:contentTypeVersion="11" ma:contentTypeDescription="Create a new document." ma:contentTypeScope="" ma:versionID="c018a559a8796d79d31af16689f58591">
  <xsd:schema xmlns:xsd="http://www.w3.org/2001/XMLSchema" xmlns:xs="http://www.w3.org/2001/XMLSchema" xmlns:p="http://schemas.microsoft.com/office/2006/metadata/properties" xmlns:ns2="d5259957-f353-4b73-92df-8c50cc8a0216" xmlns:ns3="cde4b0b2-2ef5-4d08-86ae-ead197035192" targetNamespace="http://schemas.microsoft.com/office/2006/metadata/properties" ma:root="true" ma:fieldsID="38b29d2513816cff6b2743db2f90b35f" ns2:_="" ns3:_="">
    <xsd:import namespace="d5259957-f353-4b73-92df-8c50cc8a0216"/>
    <xsd:import namespace="cde4b0b2-2ef5-4d08-86ae-ead1970351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259957-f353-4b73-92df-8c50cc8a02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18416e9-e3a2-42d1-bdfa-3e911e1ce58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e4b0b2-2ef5-4d08-86ae-ead19703519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798c3e1-839a-4f8c-ba3b-9c0af9027559}" ma:internalName="TaxCatchAll" ma:showField="CatchAllData" ma:web="cde4b0b2-2ef5-4d08-86ae-ead1970351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889E79-3856-42C6-8F48-A51EE664D93D}">
  <ds:schemaRefs>
    <ds:schemaRef ds:uri="http://schemas.microsoft.com/DataMashup"/>
  </ds:schemaRefs>
</ds:datastoreItem>
</file>

<file path=customXml/itemProps2.xml><?xml version="1.0" encoding="utf-8"?>
<ds:datastoreItem xmlns:ds="http://schemas.openxmlformats.org/officeDocument/2006/customXml" ds:itemID="{A2B1C13B-A6D4-4AD1-8759-9901079570FA}">
  <ds:schemaRefs>
    <ds:schemaRef ds:uri="http://schemas.microsoft.com/office/2006/metadata/properties"/>
    <ds:schemaRef ds:uri="http://purl.org/dc/elements/1.1/"/>
    <ds:schemaRef ds:uri="cde4b0b2-2ef5-4d08-86ae-ead197035192"/>
    <ds:schemaRef ds:uri="http://schemas.openxmlformats.org/package/2006/metadata/core-properties"/>
    <ds:schemaRef ds:uri="d5259957-f353-4b73-92df-8c50cc8a0216"/>
    <ds:schemaRef ds:uri="http://purl.org/dc/terms/"/>
    <ds:schemaRef ds:uri="http://schemas.microsoft.com/office/infopath/2007/PartnerControl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C8B46FEE-55F5-490D-A5C6-B245C9990A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259957-f353-4b73-92df-8c50cc8a0216"/>
    <ds:schemaRef ds:uri="cde4b0b2-2ef5-4d08-86ae-ead1970351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962A793-06F2-45E0-8BF1-8E3AE345C960}">
  <ds:schemaRefs>
    <ds:schemaRef ds:uri="http://schemas.microsoft.com/sharepoint/v3/contenttype/forms"/>
  </ds:schemaRefs>
</ds:datastoreItem>
</file>

<file path=docMetadata/LabelInfo.xml><?xml version="1.0" encoding="utf-8"?>
<clbl:labelList xmlns:clbl="http://schemas.microsoft.com/office/2020/mipLabelMetadata">
  <clbl:label id="{a911eff9-d416-4218-ad0f-9d12c4499240}" enabled="1" method="Standard" siteId="{866828ac-36d2-478f-b3e1-20e24430c12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22</vt:i4>
      </vt:variant>
      <vt:variant>
        <vt:lpstr>Benoemde bereiken</vt:lpstr>
      </vt:variant>
      <vt:variant>
        <vt:i4>130</vt:i4>
      </vt:variant>
    </vt:vector>
  </HeadingPairs>
  <TitlesOfParts>
    <vt:vector size="152" baseType="lpstr">
      <vt:lpstr>BASE</vt:lpstr>
      <vt:lpstr>Voorbeeldsituaties</vt:lpstr>
      <vt:lpstr>§ 5.1</vt:lpstr>
      <vt:lpstr>§ 5.4</vt:lpstr>
      <vt:lpstr>§ 5.5</vt:lpstr>
      <vt:lpstr>§ 5.9</vt:lpstr>
      <vt:lpstr>§ 6.1 - IKV#1</vt:lpstr>
      <vt:lpstr>§ 6.1 - IKV#2</vt:lpstr>
      <vt:lpstr>§ 6.4</vt:lpstr>
      <vt:lpstr>§ 7.4a</vt:lpstr>
      <vt:lpstr>§ 7.4b</vt:lpstr>
      <vt:lpstr>§ 7.8a</vt:lpstr>
      <vt:lpstr>§ 7.8b</vt:lpstr>
      <vt:lpstr>§ 7.8c</vt:lpstr>
      <vt:lpstr>H 10a</vt:lpstr>
      <vt:lpstr>H 10b</vt:lpstr>
      <vt:lpstr>H 10c</vt:lpstr>
      <vt:lpstr>H 10d</vt:lpstr>
      <vt:lpstr>§ 11.2a</vt:lpstr>
      <vt:lpstr>§ 11.2b</vt:lpstr>
      <vt:lpstr>§ 11.4</vt:lpstr>
      <vt:lpstr>rekenwaarden</vt:lpstr>
      <vt:lpstr>Code_Aard_Arbeidsverhouding</vt:lpstr>
      <vt:lpstr>Code_Reden_Einde_Arbeidsverhouding</vt:lpstr>
      <vt:lpstr>Code_Soort_IKV</vt:lpstr>
      <vt:lpstr>'§ 11.2a'!Datum_Aanvang_IKV</vt:lpstr>
      <vt:lpstr>'§ 11.2b'!Datum_Aanvang_IKV</vt:lpstr>
      <vt:lpstr>'§ 11.4'!Datum_Aanvang_IKV</vt:lpstr>
      <vt:lpstr>'§ 5.1'!Datum_Aanvang_IKV</vt:lpstr>
      <vt:lpstr>'§ 5.4'!Datum_Aanvang_IKV</vt:lpstr>
      <vt:lpstr>'§ 5.5'!Datum_Aanvang_IKV</vt:lpstr>
      <vt:lpstr>'§ 5.9'!Datum_Aanvang_IKV</vt:lpstr>
      <vt:lpstr>'§ 6.1 - IKV#1'!Datum_Aanvang_IKV</vt:lpstr>
      <vt:lpstr>'§ 6.1 - IKV#2'!Datum_Aanvang_IKV</vt:lpstr>
      <vt:lpstr>'§ 6.4'!Datum_Aanvang_IKV</vt:lpstr>
      <vt:lpstr>'§ 7.4a'!Datum_Aanvang_IKV</vt:lpstr>
      <vt:lpstr>'§ 7.4b'!Datum_Aanvang_IKV</vt:lpstr>
      <vt:lpstr>'§ 7.8a'!Datum_Aanvang_IKV</vt:lpstr>
      <vt:lpstr>'§ 7.8b'!Datum_Aanvang_IKV</vt:lpstr>
      <vt:lpstr>'§ 7.8c'!Datum_Aanvang_IKV</vt:lpstr>
      <vt:lpstr>'H 10a'!Datum_Aanvang_IKV</vt:lpstr>
      <vt:lpstr>'H 10b'!Datum_Aanvang_IKV</vt:lpstr>
      <vt:lpstr>'H 10c'!Datum_Aanvang_IKV</vt:lpstr>
      <vt:lpstr>'H 10d'!Datum_Aanvang_IKV</vt:lpstr>
      <vt:lpstr>Datum_Aanvang_IKV</vt:lpstr>
      <vt:lpstr>'§ 11.2a'!Datum_Einde_IKV</vt:lpstr>
      <vt:lpstr>'§ 11.2b'!Datum_Einde_IKV</vt:lpstr>
      <vt:lpstr>'§ 11.4'!Datum_Einde_IKV</vt:lpstr>
      <vt:lpstr>'§ 5.1'!Datum_Einde_IKV</vt:lpstr>
      <vt:lpstr>'§ 5.4'!Datum_Einde_IKV</vt:lpstr>
      <vt:lpstr>'§ 5.5'!Datum_Einde_IKV</vt:lpstr>
      <vt:lpstr>'§ 5.9'!Datum_Einde_IKV</vt:lpstr>
      <vt:lpstr>'§ 6.1 - IKV#1'!Datum_Einde_IKV</vt:lpstr>
      <vt:lpstr>'§ 6.1 - IKV#2'!Datum_Einde_IKV</vt:lpstr>
      <vt:lpstr>'§ 6.4'!Datum_Einde_IKV</vt:lpstr>
      <vt:lpstr>'§ 7.4a'!Datum_Einde_IKV</vt:lpstr>
      <vt:lpstr>'§ 7.4b'!Datum_Einde_IKV</vt:lpstr>
      <vt:lpstr>'§ 7.8a'!Datum_Einde_IKV</vt:lpstr>
      <vt:lpstr>'§ 7.8b'!Datum_Einde_IKV</vt:lpstr>
      <vt:lpstr>'§ 7.8c'!Datum_Einde_IKV</vt:lpstr>
      <vt:lpstr>'H 10a'!Datum_Einde_IKV</vt:lpstr>
      <vt:lpstr>'H 10b'!Datum_Einde_IKV</vt:lpstr>
      <vt:lpstr>'H 10c'!Datum_Einde_IKV</vt:lpstr>
      <vt:lpstr>'H 10d'!Datum_Einde_IKV</vt:lpstr>
      <vt:lpstr>Datum_Einde_IKV</vt:lpstr>
      <vt:lpstr>franchise</vt:lpstr>
      <vt:lpstr>'§ 11.2a'!Geboortedatum</vt:lpstr>
      <vt:lpstr>'§ 11.2b'!Geboortedatum</vt:lpstr>
      <vt:lpstr>'§ 11.4'!Geboortedatum</vt:lpstr>
      <vt:lpstr>'§ 5.1'!Geboortedatum</vt:lpstr>
      <vt:lpstr>'§ 5.4'!Geboortedatum</vt:lpstr>
      <vt:lpstr>'§ 5.5'!Geboortedatum</vt:lpstr>
      <vt:lpstr>'§ 5.9'!Geboortedatum</vt:lpstr>
      <vt:lpstr>'§ 6.1 - IKV#1'!Geboortedatum</vt:lpstr>
      <vt:lpstr>'§ 6.1 - IKV#2'!Geboortedatum</vt:lpstr>
      <vt:lpstr>'§ 6.4'!Geboortedatum</vt:lpstr>
      <vt:lpstr>'§ 7.4a'!Geboortedatum</vt:lpstr>
      <vt:lpstr>'§ 7.4b'!Geboortedatum</vt:lpstr>
      <vt:lpstr>'§ 7.8a'!Geboortedatum</vt:lpstr>
      <vt:lpstr>'§ 7.8b'!Geboortedatum</vt:lpstr>
      <vt:lpstr>'§ 7.8c'!Geboortedatum</vt:lpstr>
      <vt:lpstr>'H 10a'!Geboortedatum</vt:lpstr>
      <vt:lpstr>'H 10b'!Geboortedatum</vt:lpstr>
      <vt:lpstr>'H 10c'!Geboortedatum</vt:lpstr>
      <vt:lpstr>'H 10d'!Geboortedatum</vt:lpstr>
      <vt:lpstr>Geboortedatum</vt:lpstr>
      <vt:lpstr>jaar</vt:lpstr>
      <vt:lpstr>max_loon</vt:lpstr>
      <vt:lpstr>max_loon_exc</vt:lpstr>
      <vt:lpstr>'§ 11.2a'!Normuren_per_week</vt:lpstr>
      <vt:lpstr>'§ 11.2b'!Normuren_per_week</vt:lpstr>
      <vt:lpstr>'§ 11.4'!Normuren_per_week</vt:lpstr>
      <vt:lpstr>'§ 5.1'!Normuren_per_week</vt:lpstr>
      <vt:lpstr>'§ 5.4'!Normuren_per_week</vt:lpstr>
      <vt:lpstr>'§ 5.5'!Normuren_per_week</vt:lpstr>
      <vt:lpstr>'§ 5.9'!Normuren_per_week</vt:lpstr>
      <vt:lpstr>'§ 6.1 - IKV#1'!Normuren_per_week</vt:lpstr>
      <vt:lpstr>'§ 6.1 - IKV#2'!Normuren_per_week</vt:lpstr>
      <vt:lpstr>'§ 6.4'!Normuren_per_week</vt:lpstr>
      <vt:lpstr>'§ 7.4a'!Normuren_per_week</vt:lpstr>
      <vt:lpstr>'§ 7.4b'!Normuren_per_week</vt:lpstr>
      <vt:lpstr>'§ 7.8a'!Normuren_per_week</vt:lpstr>
      <vt:lpstr>'§ 7.8b'!Normuren_per_week</vt:lpstr>
      <vt:lpstr>'§ 7.8c'!Normuren_per_week</vt:lpstr>
      <vt:lpstr>'H 10a'!Normuren_per_week</vt:lpstr>
      <vt:lpstr>'H 10b'!Normuren_per_week</vt:lpstr>
      <vt:lpstr>'H 10c'!Normuren_per_week</vt:lpstr>
      <vt:lpstr>'H 10d'!Normuren_per_week</vt:lpstr>
      <vt:lpstr>Normuren_per_week</vt:lpstr>
      <vt:lpstr>premiepct2027</vt:lpstr>
      <vt:lpstr>premiepct2028</vt:lpstr>
      <vt:lpstr>Rekenwaarden_tabel</vt:lpstr>
      <vt:lpstr>'§ 11.2a'!verloning</vt:lpstr>
      <vt:lpstr>'§ 11.2b'!verloning</vt:lpstr>
      <vt:lpstr>'§ 11.4'!verloning</vt:lpstr>
      <vt:lpstr>'§ 5.1'!verloning</vt:lpstr>
      <vt:lpstr>'§ 5.4'!verloning</vt:lpstr>
      <vt:lpstr>'§ 5.5'!verloning</vt:lpstr>
      <vt:lpstr>'§ 5.9'!verloning</vt:lpstr>
      <vt:lpstr>'§ 6.1 - IKV#1'!verloning</vt:lpstr>
      <vt:lpstr>'§ 6.1 - IKV#2'!verloning</vt:lpstr>
      <vt:lpstr>'§ 6.4'!verloning</vt:lpstr>
      <vt:lpstr>'§ 7.4a'!verloning</vt:lpstr>
      <vt:lpstr>'§ 7.4b'!verloning</vt:lpstr>
      <vt:lpstr>'§ 7.8a'!verloning</vt:lpstr>
      <vt:lpstr>'§ 7.8b'!verloning</vt:lpstr>
      <vt:lpstr>'§ 7.8c'!verloning</vt:lpstr>
      <vt:lpstr>'H 10a'!verloning</vt:lpstr>
      <vt:lpstr>'H 10b'!verloning</vt:lpstr>
      <vt:lpstr>'H 10c'!verloning</vt:lpstr>
      <vt:lpstr>'H 10d'!verloning</vt:lpstr>
      <vt:lpstr>verloning</vt:lpstr>
      <vt:lpstr>'§ 11.2a'!Verloningsperiodiciteit</vt:lpstr>
      <vt:lpstr>'§ 11.2b'!Verloningsperiodiciteit</vt:lpstr>
      <vt:lpstr>'§ 11.4'!Verloningsperiodiciteit</vt:lpstr>
      <vt:lpstr>'§ 5.1'!Verloningsperiodiciteit</vt:lpstr>
      <vt:lpstr>'§ 5.4'!Verloningsperiodiciteit</vt:lpstr>
      <vt:lpstr>'§ 5.5'!Verloningsperiodiciteit</vt:lpstr>
      <vt:lpstr>'§ 5.9'!Verloningsperiodiciteit</vt:lpstr>
      <vt:lpstr>'§ 6.1 - IKV#1'!Verloningsperiodiciteit</vt:lpstr>
      <vt:lpstr>'§ 6.1 - IKV#2'!Verloningsperiodiciteit</vt:lpstr>
      <vt:lpstr>'§ 6.4'!Verloningsperiodiciteit</vt:lpstr>
      <vt:lpstr>'§ 7.4a'!Verloningsperiodiciteit</vt:lpstr>
      <vt:lpstr>'§ 7.4b'!Verloningsperiodiciteit</vt:lpstr>
      <vt:lpstr>'§ 7.8a'!Verloningsperiodiciteit</vt:lpstr>
      <vt:lpstr>'§ 7.8b'!Verloningsperiodiciteit</vt:lpstr>
      <vt:lpstr>'§ 7.8c'!Verloningsperiodiciteit</vt:lpstr>
      <vt:lpstr>'H 10a'!Verloningsperiodiciteit</vt:lpstr>
      <vt:lpstr>'H 10b'!Verloningsperiodiciteit</vt:lpstr>
      <vt:lpstr>'H 10c'!Verloningsperiodiciteit</vt:lpstr>
      <vt:lpstr>'H 10d'!Verloningsperiodiciteit</vt:lpstr>
      <vt:lpstr>Verloningsperiodiciteit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Verhagen, Diana</dc:creator>
  <cp:keywords/>
  <dc:description/>
  <cp:lastModifiedBy>Kesteren, Rien van</cp:lastModifiedBy>
  <cp:revision/>
  <dcterms:created xsi:type="dcterms:W3CDTF">2026-07-07T09:18:23Z</dcterms:created>
  <dcterms:modified xsi:type="dcterms:W3CDTF">2026-09-10T08:45:34Z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0x010100A8C9454BF281D4488F35C877B53EAB78</vt:lpwstr>
  </property>
  <property fmtid="{D5CDD505-2E9C-101B-9397-08002B2CF9AE}" pid="3" name="MediaServiceImageTags">
    <vt:lpwstr/>
  </property>
</Properties>
</file>