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steren.r\Desktop\"/>
    </mc:Choice>
  </mc:AlternateContent>
  <xr:revisionPtr revIDLastSave="0" documentId="13_ncr:1_{4065B577-B49B-4BED-A361-160D85CE6DB7}" xr6:coauthVersionLast="47" xr6:coauthVersionMax="47" xr10:uidLastSave="{00000000-0000-0000-0000-000000000000}"/>
  <bookViews>
    <workbookView xWindow="-27960" yWindow="525" windowWidth="27945" windowHeight="14955" tabRatio="869" firstSheet="1" activeTab="1" xr2:uid="{25B1903D-C331-49DC-892B-EF887FC99E63}"/>
  </bookViews>
  <sheets>
    <sheet name="BASE" sheetId="2" state="hidden" r:id="rId1"/>
    <sheet name="Premie PF VVR" sheetId="6" r:id="rId2"/>
    <sheet name="rekenwaarden" sheetId="4" r:id="rId3"/>
  </sheets>
  <definedNames>
    <definedName name="Bruto_loon">#REF!</definedName>
    <definedName name="Code_Aard_Arbeidsverhouding">rekenwaarden!$AD$3:$AD$16</definedName>
    <definedName name="Code_Reden_Einde_Arbeidsverhouding">rekenwaarden!$AE$3:$AE$21</definedName>
    <definedName name="Code_Soort_IKV">rekenwaarden!$AC$3:$AC$34</definedName>
    <definedName name="Datum_Aanvang_IKV" localSheetId="1">'Premie PF VVR'!$B$4</definedName>
    <definedName name="Datum_Aanvang_IKV">BASE!$B$4</definedName>
    <definedName name="Datum_Einde_IKV" localSheetId="1">'Premie PF VVR'!$B$5</definedName>
    <definedName name="Datum_Einde_IKV">BASE!$B$5</definedName>
    <definedName name="franchise">rekenwaarden!$M$3:$M$4</definedName>
    <definedName name="Geboortedatum" localSheetId="1">'Premie PF VVR'!$B$3</definedName>
    <definedName name="Geboortedatum">BASE!$B$3</definedName>
    <definedName name="jaar">rekenwaarden!$L$3:$L$4</definedName>
    <definedName name="max_loon">rekenwaarden!$N$3:$N$4</definedName>
    <definedName name="max_loon_exc">rekenwaarden!$O$3:$O$4</definedName>
    <definedName name="Normuren_per_week" localSheetId="1">'Premie PF VVR'!$B$7</definedName>
    <definedName name="Normuren_per_week">BASE!$B$7</definedName>
    <definedName name="Pensioenpremiepercentage">#REF!</definedName>
    <definedName name="Periode_Franchise">#REF!</definedName>
    <definedName name="premiepct2027">rekenwaarden!$P$3</definedName>
    <definedName name="premiepct2028">rekenwaarden!$P$4</definedName>
    <definedName name="Rekenwaarden_tabel">rekenwaarden!$L$3:$P$4</definedName>
    <definedName name="SOOB_premiepercentage">#REF!</definedName>
    <definedName name="Uurfranchise_Pensioenregeling">#REF!</definedName>
    <definedName name="verloning" localSheetId="1">'Premie PF VVR'!$B$5</definedName>
    <definedName name="verloning">BASE!$B$5</definedName>
    <definedName name="Verloningsperiodiciteit" localSheetId="1">'Premie PF VVR'!$B$2</definedName>
    <definedName name="Verloningsperiodiciteit">BASE!$B$2</definedName>
    <definedName name="Verloonde_uren_in_Aangif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6" i="4" l="1"/>
  <c r="G15" i="4" s="1"/>
  <c r="G3" i="4"/>
  <c r="I3" i="4" s="1"/>
  <c r="J3" i="4" s="1"/>
  <c r="I4" i="4" s="1"/>
  <c r="J4" i="4" s="1"/>
  <c r="I5" i="4" s="1"/>
  <c r="J5" i="4" s="1"/>
  <c r="I6" i="4" s="1"/>
  <c r="J6" i="4" s="1"/>
  <c r="I7" i="4" s="1"/>
  <c r="J7" i="4" s="1"/>
  <c r="I8" i="4" s="1"/>
  <c r="J8" i="4" s="1"/>
  <c r="I9" i="4" s="1"/>
  <c r="J9" i="4" s="1"/>
  <c r="I10" i="4" s="1"/>
  <c r="J10" i="4" s="1"/>
  <c r="I11" i="4" s="1"/>
  <c r="J11" i="4" s="1"/>
  <c r="I12" i="4" s="1"/>
  <c r="J12" i="4" s="1"/>
  <c r="I13" i="4" s="1"/>
  <c r="J13" i="4" s="1"/>
  <c r="I14" i="4" s="1"/>
  <c r="J14" i="4" s="1"/>
  <c r="D2" i="6"/>
  <c r="D18" i="6" s="1"/>
  <c r="B7" i="6"/>
  <c r="G4" i="4"/>
  <c r="G5" i="4"/>
  <c r="G6" i="4"/>
  <c r="G7" i="4"/>
  <c r="G8" i="4"/>
  <c r="G9" i="4"/>
  <c r="G10" i="4"/>
  <c r="G11" i="4"/>
  <c r="G12" i="4"/>
  <c r="G13" i="4"/>
  <c r="G14" i="4"/>
  <c r="A17" i="4"/>
  <c r="G16" i="4" s="1"/>
  <c r="A18" i="4"/>
  <c r="G17" i="4" s="1"/>
  <c r="A19" i="4"/>
  <c r="G18" i="4" s="1"/>
  <c r="A20" i="4"/>
  <c r="G19" i="4" s="1"/>
  <c r="A21" i="4"/>
  <c r="G20" i="4" s="1"/>
  <c r="A22" i="4"/>
  <c r="G21" i="4" s="1"/>
  <c r="A23" i="4"/>
  <c r="G22" i="4" s="1"/>
  <c r="A24" i="4"/>
  <c r="G23" i="4" s="1"/>
  <c r="A25" i="4"/>
  <c r="G24" i="4" s="1"/>
  <c r="A26" i="4"/>
  <c r="G25" i="4" s="1"/>
  <c r="A27" i="4"/>
  <c r="G26" i="4" s="1"/>
  <c r="A28" i="4"/>
  <c r="H19" i="2"/>
  <c r="H20" i="2"/>
  <c r="H21" i="2"/>
  <c r="H22" i="2"/>
  <c r="H23" i="2"/>
  <c r="H24" i="2"/>
  <c r="H25" i="2"/>
  <c r="H26" i="2"/>
  <c r="H27" i="2"/>
  <c r="H28" i="2"/>
  <c r="H29" i="2"/>
  <c r="H30" i="2"/>
  <c r="H18" i="2"/>
  <c r="D2" i="2"/>
  <c r="D18" i="2" s="1"/>
  <c r="B7" i="2"/>
  <c r="E2" i="2"/>
  <c r="E3" i="2" s="1"/>
  <c r="E19" i="2" s="1"/>
  <c r="J19" i="2" s="1"/>
  <c r="G91" i="4"/>
  <c r="S12" i="4"/>
  <c r="S11" i="4"/>
  <c r="S10" i="4"/>
  <c r="S9" i="4"/>
  <c r="S8" i="4"/>
  <c r="P4" i="4"/>
  <c r="O4" i="4"/>
  <c r="N4" i="4"/>
  <c r="M4" i="4"/>
  <c r="C3" i="4"/>
  <c r="C4" i="4" s="1"/>
  <c r="C16" i="4" l="1"/>
  <c r="D15" i="4" s="1"/>
  <c r="L3" i="4"/>
  <c r="A29" i="4"/>
  <c r="C29" i="4" s="1"/>
  <c r="D3" i="4"/>
  <c r="C5" i="4"/>
  <c r="D4" i="4" s="1"/>
  <c r="L4" i="4"/>
  <c r="I15" i="4"/>
  <c r="J15" i="4" s="1"/>
  <c r="I16" i="4" s="1"/>
  <c r="J16" i="4" s="1"/>
  <c r="I17" i="4" s="1"/>
  <c r="J17" i="4" s="1"/>
  <c r="I18" i="4" s="1"/>
  <c r="J18" i="4" s="1"/>
  <c r="I19" i="4" s="1"/>
  <c r="J19" i="4" s="1"/>
  <c r="I20" i="4" s="1"/>
  <c r="J20" i="4" s="1"/>
  <c r="I21" i="4" s="1"/>
  <c r="J21" i="4" s="1"/>
  <c r="I22" i="4" s="1"/>
  <c r="J22" i="4" s="1"/>
  <c r="I23" i="4" s="1"/>
  <c r="J23" i="4" s="1"/>
  <c r="I24" i="4" s="1"/>
  <c r="J24" i="4" s="1"/>
  <c r="I25" i="4" s="1"/>
  <c r="J25" i="4" s="1"/>
  <c r="I26" i="4" s="1"/>
  <c r="I2" i="2"/>
  <c r="J2" i="2"/>
  <c r="I3" i="2"/>
  <c r="E4" i="2"/>
  <c r="J3" i="2"/>
  <c r="C17" i="4"/>
  <c r="E18" i="2"/>
  <c r="J18" i="2" s="1"/>
  <c r="D28" i="4" l="1"/>
  <c r="C6" i="4"/>
  <c r="D5" i="4" s="1"/>
  <c r="F2" i="6"/>
  <c r="J26" i="4"/>
  <c r="C18" i="4"/>
  <c r="D16" i="4"/>
  <c r="E20" i="2"/>
  <c r="J20" i="2" s="1"/>
  <c r="I4" i="2"/>
  <c r="E5" i="2"/>
  <c r="J4" i="2"/>
  <c r="C7" i="4" l="1"/>
  <c r="C8" i="4" s="1"/>
  <c r="G2" i="6"/>
  <c r="F18" i="6"/>
  <c r="E2" i="6"/>
  <c r="D17" i="4"/>
  <c r="C19" i="4"/>
  <c r="E21" i="2"/>
  <c r="J21" i="2" s="1"/>
  <c r="J5" i="2"/>
  <c r="I5" i="2"/>
  <c r="E6" i="2"/>
  <c r="D6" i="4" l="1"/>
  <c r="Y2" i="6"/>
  <c r="J2" i="6"/>
  <c r="I2" i="6"/>
  <c r="X2" i="6"/>
  <c r="H2" i="6"/>
  <c r="V2" i="6" s="1"/>
  <c r="E18" i="6"/>
  <c r="D3" i="6"/>
  <c r="D19" i="6" s="1"/>
  <c r="G18" i="6"/>
  <c r="C20" i="4"/>
  <c r="D18" i="4"/>
  <c r="E7" i="2"/>
  <c r="E22" i="2"/>
  <c r="J22" i="2" s="1"/>
  <c r="J6" i="2"/>
  <c r="I6" i="2"/>
  <c r="D7" i="4"/>
  <c r="C9" i="4"/>
  <c r="I18" i="6" l="1"/>
  <c r="F3" i="6"/>
  <c r="N18" i="6"/>
  <c r="M18" i="6"/>
  <c r="W2" i="6"/>
  <c r="H18" i="6" s="1"/>
  <c r="L18" i="6"/>
  <c r="D19" i="4"/>
  <c r="C21" i="4"/>
  <c r="I7" i="2"/>
  <c r="E23" i="2"/>
  <c r="J23" i="2" s="1"/>
  <c r="J7" i="2"/>
  <c r="E8" i="2"/>
  <c r="C10" i="4"/>
  <c r="D8" i="4"/>
  <c r="W18" i="6" l="1"/>
  <c r="O18" i="6"/>
  <c r="E3" i="6"/>
  <c r="F19" i="6"/>
  <c r="G3" i="6"/>
  <c r="J8" i="2"/>
  <c r="I8" i="2"/>
  <c r="E24" i="2"/>
  <c r="J24" i="2" s="1"/>
  <c r="E9" i="2"/>
  <c r="C11" i="4"/>
  <c r="D9" i="4"/>
  <c r="D20" i="4"/>
  <c r="C22" i="4"/>
  <c r="P18" i="6" l="1"/>
  <c r="R18" i="6" s="1"/>
  <c r="U18" i="6" s="1"/>
  <c r="D4" i="6"/>
  <c r="D20" i="6" s="1"/>
  <c r="G19" i="6"/>
  <c r="H3" i="6"/>
  <c r="V3" i="6" s="1"/>
  <c r="E19" i="6"/>
  <c r="X3" i="6"/>
  <c r="J3" i="6"/>
  <c r="Y3" i="6"/>
  <c r="I3" i="6"/>
  <c r="E10" i="2"/>
  <c r="J9" i="2"/>
  <c r="I9" i="2"/>
  <c r="E25" i="2"/>
  <c r="J25" i="2" s="1"/>
  <c r="C23" i="4"/>
  <c r="D21" i="4"/>
  <c r="C12" i="4"/>
  <c r="D10" i="4"/>
  <c r="Q18" i="6" l="1"/>
  <c r="AB18" i="6" s="1"/>
  <c r="AC18" i="6" s="1"/>
  <c r="I19" i="6"/>
  <c r="F4" i="6"/>
  <c r="E4" i="6" s="1"/>
  <c r="K18" i="6"/>
  <c r="S18" i="6" s="1"/>
  <c r="L19" i="6"/>
  <c r="J18" i="6"/>
  <c r="M19" i="6"/>
  <c r="N19" i="6"/>
  <c r="W3" i="6"/>
  <c r="H19" i="6" s="1"/>
  <c r="J10" i="2"/>
  <c r="I10" i="2"/>
  <c r="E26" i="2"/>
  <c r="J26" i="2" s="1"/>
  <c r="E11" i="2"/>
  <c r="C24" i="4"/>
  <c r="D22" i="4"/>
  <c r="D11" i="4"/>
  <c r="C13" i="4"/>
  <c r="Z18" i="6" l="1"/>
  <c r="AA18" i="6" s="1"/>
  <c r="G4" i="6"/>
  <c r="D5" i="6" s="1"/>
  <c r="D21" i="6" s="1"/>
  <c r="O19" i="6"/>
  <c r="P19" i="6" s="1"/>
  <c r="F20" i="6"/>
  <c r="W19" i="6"/>
  <c r="T18" i="6"/>
  <c r="V18" i="6" s="1"/>
  <c r="X18" i="6"/>
  <c r="Y18" i="6" s="1"/>
  <c r="J4" i="6"/>
  <c r="I4" i="6"/>
  <c r="Y4" i="6"/>
  <c r="X4" i="6"/>
  <c r="E20" i="6"/>
  <c r="D23" i="4"/>
  <c r="C25" i="4"/>
  <c r="D12" i="4"/>
  <c r="C14" i="4"/>
  <c r="E12" i="2"/>
  <c r="E27" i="2"/>
  <c r="J27" i="2" s="1"/>
  <c r="J11" i="2"/>
  <c r="I11" i="2"/>
  <c r="G20" i="6" l="1"/>
  <c r="N20" i="6" s="1"/>
  <c r="H4" i="6"/>
  <c r="W4" i="6" s="1"/>
  <c r="H20" i="6" s="1"/>
  <c r="AD18" i="6"/>
  <c r="AE18" i="6" s="1"/>
  <c r="F5" i="6"/>
  <c r="G5" i="6" s="1"/>
  <c r="AF18" i="6"/>
  <c r="AG18" i="6" s="1"/>
  <c r="Q19" i="6"/>
  <c r="R19" i="6"/>
  <c r="U19" i="6" s="1"/>
  <c r="L20" i="6"/>
  <c r="K19" i="6"/>
  <c r="S19" i="6" s="1"/>
  <c r="J19" i="6"/>
  <c r="T19" i="6" s="1"/>
  <c r="D13" i="4"/>
  <c r="C15" i="4"/>
  <c r="D24" i="4"/>
  <c r="C26" i="4"/>
  <c r="E13" i="2"/>
  <c r="E28" i="2"/>
  <c r="J28" i="2" s="1"/>
  <c r="J12" i="2"/>
  <c r="I12" i="2"/>
  <c r="AH18" i="6"/>
  <c r="AI18" i="6"/>
  <c r="E5" i="6" l="1"/>
  <c r="H5" i="6" s="1"/>
  <c r="W5" i="6" s="1"/>
  <c r="V4" i="6"/>
  <c r="I20" i="6" s="1"/>
  <c r="M20" i="6"/>
  <c r="O20" i="6" s="1"/>
  <c r="F21" i="6"/>
  <c r="AL18" i="6"/>
  <c r="X19" i="6"/>
  <c r="Y19" i="6" s="1"/>
  <c r="D6" i="6"/>
  <c r="D22" i="6" s="1"/>
  <c r="G21" i="6"/>
  <c r="AB19" i="6"/>
  <c r="AC19" i="6" s="1"/>
  <c r="Z19" i="6"/>
  <c r="AA19" i="6" s="1"/>
  <c r="V19" i="6"/>
  <c r="D14" i="4"/>
  <c r="F2" i="2"/>
  <c r="E14" i="2"/>
  <c r="E29" i="2"/>
  <c r="J29" i="2" s="1"/>
  <c r="J13" i="2"/>
  <c r="I13" i="2"/>
  <c r="C27" i="4"/>
  <c r="D25" i="4"/>
  <c r="E21" i="6" l="1"/>
  <c r="J5" i="6"/>
  <c r="Y5" i="6"/>
  <c r="H21" i="6" s="1"/>
  <c r="X5" i="6"/>
  <c r="I5" i="6"/>
  <c r="P20" i="6"/>
  <c r="R20" i="6" s="1"/>
  <c r="U20" i="6" s="1"/>
  <c r="W20" i="6"/>
  <c r="AD19" i="6"/>
  <c r="AE19" i="6" s="1"/>
  <c r="F6" i="6"/>
  <c r="F22" i="6" s="1"/>
  <c r="AF19" i="6"/>
  <c r="AG19" i="6" s="1"/>
  <c r="V5" i="6"/>
  <c r="N21" i="6"/>
  <c r="M21" i="6"/>
  <c r="J20" i="6"/>
  <c r="L21" i="6"/>
  <c r="K20" i="6"/>
  <c r="S20" i="6" s="1"/>
  <c r="G2" i="2"/>
  <c r="F18" i="2"/>
  <c r="C28" i="4"/>
  <c r="D27" i="4" s="1"/>
  <c r="D26" i="4"/>
  <c r="J14" i="2"/>
  <c r="E30" i="2"/>
  <c r="J30" i="2" s="1"/>
  <c r="I14" i="2"/>
  <c r="AH19" i="6"/>
  <c r="AI19" i="6"/>
  <c r="I21" i="6" l="1"/>
  <c r="O21" i="6"/>
  <c r="P21" i="6" s="1"/>
  <c r="R21" i="6" s="1"/>
  <c r="U21" i="6" s="1"/>
  <c r="Q20" i="6"/>
  <c r="AB20" i="6" s="1"/>
  <c r="AC20" i="6" s="1"/>
  <c r="E6" i="6"/>
  <c r="G6" i="6"/>
  <c r="AL19" i="6"/>
  <c r="W21" i="6"/>
  <c r="T20" i="6"/>
  <c r="V20" i="6" s="1"/>
  <c r="X20" i="6"/>
  <c r="Y20" i="6" s="1"/>
  <c r="D3" i="2"/>
  <c r="D19" i="2" s="1"/>
  <c r="G18" i="2"/>
  <c r="H2" i="2"/>
  <c r="U2" i="2" s="1"/>
  <c r="I18" i="2" s="1"/>
  <c r="Z20" i="6" l="1"/>
  <c r="AA20" i="6" s="1"/>
  <c r="AF20" i="6" s="1"/>
  <c r="AG20" i="6" s="1"/>
  <c r="D7" i="6"/>
  <c r="G22" i="6"/>
  <c r="E22" i="6"/>
  <c r="J6" i="6"/>
  <c r="I6" i="6"/>
  <c r="H6" i="6"/>
  <c r="W6" i="6" s="1"/>
  <c r="Y6" i="6"/>
  <c r="X6" i="6"/>
  <c r="Q21" i="6"/>
  <c r="F3" i="2"/>
  <c r="G3" i="2" s="1"/>
  <c r="K18" i="2"/>
  <c r="L18" i="2"/>
  <c r="AI20" i="6"/>
  <c r="AD20" i="6" l="1"/>
  <c r="AE20" i="6" s="1"/>
  <c r="F19" i="2"/>
  <c r="V6" i="6"/>
  <c r="I22" i="6" s="1"/>
  <c r="L22" i="6"/>
  <c r="K21" i="6"/>
  <c r="S21" i="6" s="1"/>
  <c r="J21" i="6"/>
  <c r="M22" i="6"/>
  <c r="N22" i="6"/>
  <c r="D23" i="6"/>
  <c r="F7" i="6"/>
  <c r="H22" i="6"/>
  <c r="AB21" i="6"/>
  <c r="AC21" i="6" s="1"/>
  <c r="Z21" i="6"/>
  <c r="AA21" i="6" s="1"/>
  <c r="M18" i="2"/>
  <c r="N18" i="2" s="1"/>
  <c r="U18" i="2"/>
  <c r="V18" i="2" s="1"/>
  <c r="W18" i="2" s="1"/>
  <c r="R18" i="2"/>
  <c r="Q18" i="2"/>
  <c r="D4" i="2"/>
  <c r="D20" i="2" s="1"/>
  <c r="G19" i="2"/>
  <c r="H3" i="2"/>
  <c r="U3" i="2" s="1"/>
  <c r="I19" i="2" s="1"/>
  <c r="AH20" i="6"/>
  <c r="AL20" i="6" l="1"/>
  <c r="O22" i="6"/>
  <c r="P22" i="6" s="1"/>
  <c r="W22" i="6"/>
  <c r="T21" i="6"/>
  <c r="V21" i="6" s="1"/>
  <c r="AF21" i="6" s="1"/>
  <c r="AG21" i="6" s="1"/>
  <c r="X21" i="6"/>
  <c r="Y21" i="6" s="1"/>
  <c r="G7" i="6"/>
  <c r="F23" i="6"/>
  <c r="E7" i="6"/>
  <c r="O18" i="2"/>
  <c r="Z18" i="2" s="1"/>
  <c r="AA18" i="2" s="1"/>
  <c r="P18" i="2"/>
  <c r="S18" i="2" s="1"/>
  <c r="T18" i="2" s="1"/>
  <c r="F4" i="2"/>
  <c r="G4" i="2" s="1"/>
  <c r="K19" i="2"/>
  <c r="L19" i="2"/>
  <c r="AI21" i="6"/>
  <c r="R22" i="6" l="1"/>
  <c r="U22" i="6" s="1"/>
  <c r="Q22" i="6"/>
  <c r="AD21" i="6"/>
  <c r="AE21" i="6" s="1"/>
  <c r="I7" i="6"/>
  <c r="E23" i="6"/>
  <c r="X7" i="6"/>
  <c r="H7" i="6"/>
  <c r="W7" i="6" s="1"/>
  <c r="J7" i="6"/>
  <c r="Y7" i="6"/>
  <c r="D8" i="6"/>
  <c r="D24" i="6" s="1"/>
  <c r="G23" i="6"/>
  <c r="X18" i="2"/>
  <c r="Y18" i="2" s="1"/>
  <c r="AB18" i="2" s="1"/>
  <c r="AC18" i="2" s="1"/>
  <c r="F20" i="2"/>
  <c r="G20" i="2"/>
  <c r="D5" i="2"/>
  <c r="D21" i="2" s="1"/>
  <c r="H4" i="2"/>
  <c r="U4" i="2" s="1"/>
  <c r="I20" i="2" s="1"/>
  <c r="R19" i="2"/>
  <c r="Q19" i="2"/>
  <c r="U19" i="2"/>
  <c r="V19" i="2" s="1"/>
  <c r="W19" i="2" s="1"/>
  <c r="M19" i="2"/>
  <c r="N19" i="2" s="1"/>
  <c r="AF18" i="2"/>
  <c r="AH21" i="6"/>
  <c r="AD18" i="2" l="1"/>
  <c r="AE18" i="2" s="1"/>
  <c r="F8" i="6"/>
  <c r="E8" i="6" s="1"/>
  <c r="V7" i="6"/>
  <c r="I23" i="6" s="1"/>
  <c r="AL21" i="6"/>
  <c r="H23" i="6"/>
  <c r="L23" i="6"/>
  <c r="J22" i="6"/>
  <c r="K22" i="6"/>
  <c r="S22" i="6" s="1"/>
  <c r="Z22" i="6"/>
  <c r="AA22" i="6" s="1"/>
  <c r="AB22" i="6"/>
  <c r="AC22" i="6" s="1"/>
  <c r="N23" i="6"/>
  <c r="M23" i="6"/>
  <c r="F5" i="2"/>
  <c r="G5" i="2" s="1"/>
  <c r="P19" i="2"/>
  <c r="S19" i="2" s="1"/>
  <c r="T19" i="2" s="1"/>
  <c r="O19" i="2"/>
  <c r="K20" i="2"/>
  <c r="L20" i="2"/>
  <c r="AG18" i="2"/>
  <c r="G8" i="6" l="1"/>
  <c r="G24" i="6" s="1"/>
  <c r="F24" i="6"/>
  <c r="AJ18" i="2"/>
  <c r="F21" i="2"/>
  <c r="O23" i="6"/>
  <c r="P23" i="6" s="1"/>
  <c r="E24" i="6"/>
  <c r="X8" i="6"/>
  <c r="I8" i="6"/>
  <c r="Y8" i="6"/>
  <c r="W23" i="6"/>
  <c r="T22" i="6"/>
  <c r="V22" i="6" s="1"/>
  <c r="X22" i="6"/>
  <c r="Y22" i="6" s="1"/>
  <c r="X19" i="2"/>
  <c r="Y19" i="2" s="1"/>
  <c r="AB19" i="2" s="1"/>
  <c r="AC19" i="2" s="1"/>
  <c r="Z19" i="2"/>
  <c r="AA19" i="2" s="1"/>
  <c r="U20" i="2"/>
  <c r="V20" i="2" s="1"/>
  <c r="W20" i="2" s="1"/>
  <c r="Q20" i="2"/>
  <c r="M20" i="2"/>
  <c r="N20" i="2" s="1"/>
  <c r="R20" i="2"/>
  <c r="G21" i="2"/>
  <c r="D6" i="2"/>
  <c r="D22" i="2" s="1"/>
  <c r="H5" i="2"/>
  <c r="U5" i="2" s="1"/>
  <c r="I21" i="2" s="1"/>
  <c r="AF19" i="2"/>
  <c r="J8" i="6" l="1"/>
  <c r="H8" i="6"/>
  <c r="V8" i="6" s="1"/>
  <c r="I24" i="6" s="1"/>
  <c r="D9" i="6"/>
  <c r="D25" i="6" s="1"/>
  <c r="AD19" i="2"/>
  <c r="AE19" i="2" s="1"/>
  <c r="R23" i="6"/>
  <c r="U23" i="6" s="1"/>
  <c r="Q23" i="6"/>
  <c r="AF22" i="6"/>
  <c r="AG22" i="6" s="1"/>
  <c r="AD22" i="6"/>
  <c r="AE22" i="6" s="1"/>
  <c r="N24" i="6"/>
  <c r="M24" i="6"/>
  <c r="L24" i="6"/>
  <c r="J23" i="6"/>
  <c r="K23" i="6"/>
  <c r="S23" i="6" s="1"/>
  <c r="O20" i="2"/>
  <c r="P20" i="2"/>
  <c r="S20" i="2" s="1"/>
  <c r="T20" i="2" s="1"/>
  <c r="F6" i="2"/>
  <c r="L21" i="2"/>
  <c r="K21" i="2"/>
  <c r="AI22" i="6"/>
  <c r="AH22" i="6"/>
  <c r="AG19" i="2"/>
  <c r="W8" i="6" l="1"/>
  <c r="H24" i="6" s="1"/>
  <c r="F9" i="6"/>
  <c r="E9" i="6" s="1"/>
  <c r="AJ19" i="2"/>
  <c r="O24" i="6"/>
  <c r="P24" i="6" s="1"/>
  <c r="AL22" i="6"/>
  <c r="W24" i="6"/>
  <c r="T23" i="6"/>
  <c r="V23" i="6" s="1"/>
  <c r="X23" i="6"/>
  <c r="Y23" i="6" s="1"/>
  <c r="AB23" i="6"/>
  <c r="AC23" i="6" s="1"/>
  <c r="Z23" i="6"/>
  <c r="AA23" i="6" s="1"/>
  <c r="R21" i="2"/>
  <c r="Q21" i="2"/>
  <c r="U21" i="2"/>
  <c r="V21" i="2" s="1"/>
  <c r="W21" i="2" s="1"/>
  <c r="M21" i="2"/>
  <c r="N21" i="2" s="1"/>
  <c r="X20" i="2"/>
  <c r="Y20" i="2" s="1"/>
  <c r="AB20" i="2" s="1"/>
  <c r="AC20" i="2" s="1"/>
  <c r="Z20" i="2"/>
  <c r="AA20" i="2" s="1"/>
  <c r="G6" i="2"/>
  <c r="F22" i="2"/>
  <c r="AF20" i="2"/>
  <c r="F25" i="6" l="1"/>
  <c r="AD20" i="2"/>
  <c r="AE20" i="2" s="1"/>
  <c r="G9" i="6"/>
  <c r="G25" i="6" s="1"/>
  <c r="AD23" i="6"/>
  <c r="AE23" i="6" s="1"/>
  <c r="R24" i="6"/>
  <c r="U24" i="6" s="1"/>
  <c r="Q24" i="6"/>
  <c r="AB24" i="6" s="1"/>
  <c r="AC24" i="6" s="1"/>
  <c r="AF23" i="6"/>
  <c r="AG23" i="6" s="1"/>
  <c r="E25" i="6"/>
  <c r="X9" i="6"/>
  <c r="Y9" i="6"/>
  <c r="I9" i="6"/>
  <c r="J9" i="6"/>
  <c r="P21" i="2"/>
  <c r="S21" i="2" s="1"/>
  <c r="T21" i="2" s="1"/>
  <c r="O21" i="2"/>
  <c r="D7" i="2"/>
  <c r="D23" i="2" s="1"/>
  <c r="G22" i="2"/>
  <c r="H6" i="2"/>
  <c r="U6" i="2" s="1"/>
  <c r="I22" i="2" s="1"/>
  <c r="AH23" i="6"/>
  <c r="AI23" i="6"/>
  <c r="AG20" i="2"/>
  <c r="AJ20" i="2" l="1"/>
  <c r="D10" i="6"/>
  <c r="F10" i="6" s="1"/>
  <c r="H9" i="6"/>
  <c r="V9" i="6" s="1"/>
  <c r="I25" i="6" s="1"/>
  <c r="Z24" i="6"/>
  <c r="AA24" i="6" s="1"/>
  <c r="AL23" i="6"/>
  <c r="M25" i="6"/>
  <c r="N25" i="6"/>
  <c r="L25" i="6"/>
  <c r="K24" i="6"/>
  <c r="S24" i="6" s="1"/>
  <c r="J24" i="6"/>
  <c r="Z21" i="2"/>
  <c r="AA21" i="2" s="1"/>
  <c r="X21" i="2"/>
  <c r="Y21" i="2" s="1"/>
  <c r="AB21" i="2" s="1"/>
  <c r="AC21" i="2" s="1"/>
  <c r="K22" i="2"/>
  <c r="L22" i="2"/>
  <c r="F7" i="2"/>
  <c r="AF21" i="2"/>
  <c r="D26" i="6" l="1"/>
  <c r="W9" i="6"/>
  <c r="H25" i="6" s="1"/>
  <c r="O25" i="6"/>
  <c r="P25" i="6" s="1"/>
  <c r="Q25" i="6" s="1"/>
  <c r="AB25" i="6" s="1"/>
  <c r="AC25" i="6" s="1"/>
  <c r="E10" i="6"/>
  <c r="G10" i="6"/>
  <c r="F26" i="6"/>
  <c r="X24" i="6"/>
  <c r="Y24" i="6" s="1"/>
  <c r="T24" i="6"/>
  <c r="V24" i="6" s="1"/>
  <c r="W25" i="6"/>
  <c r="G7" i="2"/>
  <c r="F23" i="2"/>
  <c r="AD21" i="2"/>
  <c r="AE21" i="2" s="1"/>
  <c r="M22" i="2"/>
  <c r="N22" i="2" s="1"/>
  <c r="O22" i="2" s="1"/>
  <c r="Q22" i="2"/>
  <c r="U22" i="2"/>
  <c r="V22" i="2" s="1"/>
  <c r="W22" i="2" s="1"/>
  <c r="R22" i="2"/>
  <c r="AG21" i="2"/>
  <c r="R25" i="6" l="1"/>
  <c r="U25" i="6" s="1"/>
  <c r="Z25" i="6"/>
  <c r="AA25" i="6" s="1"/>
  <c r="D11" i="6"/>
  <c r="G26" i="6"/>
  <c r="I10" i="6"/>
  <c r="H10" i="6"/>
  <c r="V10" i="6" s="1"/>
  <c r="E26" i="6"/>
  <c r="X10" i="6"/>
  <c r="Y10" i="6"/>
  <c r="J10" i="6"/>
  <c r="AF24" i="6"/>
  <c r="AG24" i="6" s="1"/>
  <c r="AD24" i="6"/>
  <c r="AE24" i="6" s="1"/>
  <c r="AJ21" i="2"/>
  <c r="X22" i="2"/>
  <c r="Y22" i="2" s="1"/>
  <c r="Z22" i="2"/>
  <c r="AA22" i="2" s="1"/>
  <c r="D8" i="2"/>
  <c r="D24" i="2" s="1"/>
  <c r="G23" i="2"/>
  <c r="H7" i="2"/>
  <c r="U7" i="2" s="1"/>
  <c r="I23" i="2" s="1"/>
  <c r="P22" i="2"/>
  <c r="S22" i="2" s="1"/>
  <c r="T22" i="2" s="1"/>
  <c r="AH24" i="6"/>
  <c r="AI24" i="6"/>
  <c r="W10" i="6" l="1"/>
  <c r="H26" i="6" s="1"/>
  <c r="AL24" i="6"/>
  <c r="I26" i="6"/>
  <c r="L26" i="6"/>
  <c r="K25" i="6"/>
  <c r="S25" i="6" s="1"/>
  <c r="J25" i="6"/>
  <c r="N26" i="6"/>
  <c r="M26" i="6"/>
  <c r="D27" i="6"/>
  <c r="F11" i="6"/>
  <c r="F8" i="2"/>
  <c r="G8" i="2" s="1"/>
  <c r="L23" i="2"/>
  <c r="K23" i="2"/>
  <c r="AD22" i="2"/>
  <c r="AE22" i="2" s="1"/>
  <c r="AB22" i="2"/>
  <c r="AC22" i="2" s="1"/>
  <c r="AG22" i="2"/>
  <c r="AF22" i="2"/>
  <c r="O26" i="6" l="1"/>
  <c r="P26" i="6" s="1"/>
  <c r="R26" i="6" s="1"/>
  <c r="U26" i="6" s="1"/>
  <c r="G11" i="6"/>
  <c r="E11" i="6"/>
  <c r="F27" i="6"/>
  <c r="F24" i="2"/>
  <c r="W26" i="6"/>
  <c r="T25" i="6"/>
  <c r="V25" i="6" s="1"/>
  <c r="X25" i="6"/>
  <c r="Y25" i="6" s="1"/>
  <c r="AJ22" i="2"/>
  <c r="M23" i="2"/>
  <c r="N23" i="2" s="1"/>
  <c r="R23" i="2"/>
  <c r="U23" i="2"/>
  <c r="V23" i="2" s="1"/>
  <c r="W23" i="2" s="1"/>
  <c r="Q23" i="2"/>
  <c r="D9" i="2"/>
  <c r="D25" i="2" s="1"/>
  <c r="G24" i="2"/>
  <c r="H8" i="2"/>
  <c r="U8" i="2" s="1"/>
  <c r="I24" i="2" s="1"/>
  <c r="AD25" i="6" l="1"/>
  <c r="AE25" i="6" s="1"/>
  <c r="AF25" i="6"/>
  <c r="AG25" i="6" s="1"/>
  <c r="Y11" i="6"/>
  <c r="J11" i="6"/>
  <c r="E27" i="6"/>
  <c r="I11" i="6"/>
  <c r="X11" i="6"/>
  <c r="H11" i="6"/>
  <c r="W11" i="6" s="1"/>
  <c r="D12" i="6"/>
  <c r="D28" i="6" s="1"/>
  <c r="G27" i="6"/>
  <c r="Q26" i="6"/>
  <c r="O23" i="2"/>
  <c r="P23" i="2"/>
  <c r="S23" i="2" s="1"/>
  <c r="T23" i="2" s="1"/>
  <c r="F9" i="2"/>
  <c r="K24" i="2"/>
  <c r="L24" i="2"/>
  <c r="AH25" i="6"/>
  <c r="AI25" i="6"/>
  <c r="H27" i="6" l="1"/>
  <c r="F12" i="6"/>
  <c r="E12" i="6" s="1"/>
  <c r="AL25" i="6"/>
  <c r="N27" i="6"/>
  <c r="M27" i="6"/>
  <c r="V11" i="6"/>
  <c r="I27" i="6" s="1"/>
  <c r="L27" i="6"/>
  <c r="K26" i="6"/>
  <c r="S26" i="6" s="1"/>
  <c r="J26" i="6"/>
  <c r="AB26" i="6"/>
  <c r="AC26" i="6" s="1"/>
  <c r="Z26" i="6"/>
  <c r="AA26" i="6" s="1"/>
  <c r="G9" i="2"/>
  <c r="F25" i="2"/>
  <c r="X23" i="2"/>
  <c r="Y23" i="2" s="1"/>
  <c r="AB23" i="2" s="1"/>
  <c r="AC23" i="2" s="1"/>
  <c r="Z23" i="2"/>
  <c r="AA23" i="2" s="1"/>
  <c r="Q24" i="2"/>
  <c r="M24" i="2"/>
  <c r="N24" i="2" s="1"/>
  <c r="P24" i="2" s="1"/>
  <c r="S24" i="2" s="1"/>
  <c r="U24" i="2"/>
  <c r="V24" i="2" s="1"/>
  <c r="W24" i="2" s="1"/>
  <c r="R24" i="2"/>
  <c r="AF23" i="2"/>
  <c r="F28" i="6" l="1"/>
  <c r="G12" i="6"/>
  <c r="D13" i="6" s="1"/>
  <c r="D29" i="6" s="1"/>
  <c r="O27" i="6"/>
  <c r="P27" i="6" s="1"/>
  <c r="T24" i="2"/>
  <c r="AD23" i="2"/>
  <c r="AE23" i="2" s="1"/>
  <c r="T26" i="6"/>
  <c r="V26" i="6" s="1"/>
  <c r="AF26" i="6" s="1"/>
  <c r="AG26" i="6" s="1"/>
  <c r="X26" i="6"/>
  <c r="Y26" i="6" s="1"/>
  <c r="W27" i="6"/>
  <c r="I12" i="6"/>
  <c r="E28" i="6"/>
  <c r="Y12" i="6"/>
  <c r="X12" i="6"/>
  <c r="J12" i="6"/>
  <c r="O24" i="2"/>
  <c r="G25" i="2"/>
  <c r="D10" i="2"/>
  <c r="D26" i="2" s="1"/>
  <c r="H9" i="2"/>
  <c r="U9" i="2" s="1"/>
  <c r="I25" i="2" s="1"/>
  <c r="AG23" i="2"/>
  <c r="AI26" i="6"/>
  <c r="H12" i="6" l="1"/>
  <c r="W12" i="6" s="1"/>
  <c r="H28" i="6" s="1"/>
  <c r="G28" i="6"/>
  <c r="N28" i="6" s="1"/>
  <c r="R27" i="6"/>
  <c r="U27" i="6" s="1"/>
  <c r="Q27" i="6"/>
  <c r="AB27" i="6" s="1"/>
  <c r="AC27" i="6" s="1"/>
  <c r="F13" i="6"/>
  <c r="G13" i="6" s="1"/>
  <c r="AD26" i="6"/>
  <c r="AE26" i="6" s="1"/>
  <c r="AJ23" i="2"/>
  <c r="L28" i="6"/>
  <c r="K27" i="6"/>
  <c r="S27" i="6" s="1"/>
  <c r="J27" i="6"/>
  <c r="T27" i="6" s="1"/>
  <c r="F10" i="2"/>
  <c r="F26" i="2" s="1"/>
  <c r="Z24" i="2"/>
  <c r="AA24" i="2" s="1"/>
  <c r="X24" i="2"/>
  <c r="Y24" i="2" s="1"/>
  <c r="AB24" i="2" s="1"/>
  <c r="AC24" i="2" s="1"/>
  <c r="K25" i="2"/>
  <c r="L25" i="2"/>
  <c r="AH26" i="6"/>
  <c r="AF24" i="2"/>
  <c r="V12" i="6" l="1"/>
  <c r="I28" i="6" s="1"/>
  <c r="M28" i="6"/>
  <c r="W28" i="6" s="1"/>
  <c r="Z27" i="6"/>
  <c r="AA27" i="6" s="1"/>
  <c r="V27" i="6"/>
  <c r="X27" i="6"/>
  <c r="Y27" i="6" s="1"/>
  <c r="F29" i="6"/>
  <c r="E13" i="6"/>
  <c r="E29" i="6" s="1"/>
  <c r="AL26" i="6"/>
  <c r="G10" i="2"/>
  <c r="G26" i="2" s="1"/>
  <c r="D14" i="6"/>
  <c r="D30" i="6" s="1"/>
  <c r="G29" i="6"/>
  <c r="U25" i="2"/>
  <c r="V25" i="2" s="1"/>
  <c r="W25" i="2" s="1"/>
  <c r="R25" i="2"/>
  <c r="M25" i="2"/>
  <c r="N25" i="2" s="1"/>
  <c r="P25" i="2" s="1"/>
  <c r="S25" i="2" s="1"/>
  <c r="Q25" i="2"/>
  <c r="AD24" i="2"/>
  <c r="AE24" i="2" s="1"/>
  <c r="AG24" i="2"/>
  <c r="O28" i="6" l="1"/>
  <c r="P28" i="6" s="1"/>
  <c r="Q28" i="6" s="1"/>
  <c r="AB28" i="6" s="1"/>
  <c r="AC28" i="6" s="1"/>
  <c r="AF27" i="6"/>
  <c r="AG27" i="6" s="1"/>
  <c r="AD27" i="6"/>
  <c r="AE27" i="6" s="1"/>
  <c r="H10" i="2"/>
  <c r="U10" i="2" s="1"/>
  <c r="I26" i="2" s="1"/>
  <c r="D11" i="2"/>
  <c r="D27" i="2" s="1"/>
  <c r="J13" i="6"/>
  <c r="Y13" i="6"/>
  <c r="H13" i="6"/>
  <c r="V13" i="6" s="1"/>
  <c r="X13" i="6"/>
  <c r="I13" i="6"/>
  <c r="F14" i="6"/>
  <c r="F30" i="6" s="1"/>
  <c r="N29" i="6"/>
  <c r="M29" i="6"/>
  <c r="J28" i="6"/>
  <c r="T28" i="6" s="1"/>
  <c r="L29" i="6"/>
  <c r="K28" i="6"/>
  <c r="S28" i="6" s="1"/>
  <c r="AJ24" i="2"/>
  <c r="T25" i="2"/>
  <c r="O25" i="2"/>
  <c r="L26" i="2"/>
  <c r="K26" i="2"/>
  <c r="AI27" i="6"/>
  <c r="AH27" i="6"/>
  <c r="R28" i="6" l="1"/>
  <c r="U28" i="6" s="1"/>
  <c r="V28" i="6" s="1"/>
  <c r="Z28" i="6"/>
  <c r="AA28" i="6" s="1"/>
  <c r="F11" i="2"/>
  <c r="F27" i="2" s="1"/>
  <c r="AL27" i="6"/>
  <c r="E14" i="6"/>
  <c r="E30" i="6" s="1"/>
  <c r="I29" i="6"/>
  <c r="W13" i="6"/>
  <c r="H29" i="6" s="1"/>
  <c r="G14" i="6"/>
  <c r="G30" i="6" s="1"/>
  <c r="N30" i="6" s="1"/>
  <c r="O29" i="6"/>
  <c r="P29" i="6" s="1"/>
  <c r="W29" i="6"/>
  <c r="X28" i="6"/>
  <c r="Y28" i="6" s="1"/>
  <c r="Z25" i="2"/>
  <c r="AA25" i="2" s="1"/>
  <c r="X25" i="2"/>
  <c r="Y25" i="2" s="1"/>
  <c r="AB25" i="2" s="1"/>
  <c r="AC25" i="2" s="1"/>
  <c r="Q26" i="2"/>
  <c r="M26" i="2"/>
  <c r="N26" i="2" s="1"/>
  <c r="O26" i="2" s="1"/>
  <c r="R26" i="2"/>
  <c r="U26" i="2"/>
  <c r="V26" i="2" s="1"/>
  <c r="W26" i="2" s="1"/>
  <c r="AF25" i="2"/>
  <c r="G11" i="2" l="1"/>
  <c r="D12" i="2" s="1"/>
  <c r="D28" i="2" s="1"/>
  <c r="H14" i="6"/>
  <c r="V14" i="6" s="1"/>
  <c r="I14" i="6"/>
  <c r="Y14" i="6"/>
  <c r="X14" i="6"/>
  <c r="J14" i="6"/>
  <c r="M30" i="6"/>
  <c r="W30" i="6" s="1"/>
  <c r="W14" i="6"/>
  <c r="L30" i="6"/>
  <c r="Q29" i="6"/>
  <c r="R29" i="6"/>
  <c r="U29" i="6" s="1"/>
  <c r="AF28" i="6"/>
  <c r="AG28" i="6" s="1"/>
  <c r="AD28" i="6"/>
  <c r="AE28" i="6" s="1"/>
  <c r="X26" i="2"/>
  <c r="Y26" i="2" s="1"/>
  <c r="Z26" i="2"/>
  <c r="AA26" i="2" s="1"/>
  <c r="AD25" i="2"/>
  <c r="AE25" i="2" s="1"/>
  <c r="P26" i="2"/>
  <c r="S26" i="2" s="1"/>
  <c r="T26" i="2" s="1"/>
  <c r="AG25" i="2"/>
  <c r="AH28" i="6"/>
  <c r="AI28" i="6"/>
  <c r="O30" i="6" l="1"/>
  <c r="P30" i="6" s="1"/>
  <c r="G27" i="2"/>
  <c r="K27" i="2" s="1"/>
  <c r="H11" i="2"/>
  <c r="U11" i="2" s="1"/>
  <c r="I27" i="2" s="1"/>
  <c r="I30" i="6"/>
  <c r="K30" i="6" s="1"/>
  <c r="S30" i="6" s="1"/>
  <c r="H30" i="6"/>
  <c r="J29" i="6" s="1"/>
  <c r="X29" i="6" s="1"/>
  <c r="Y29" i="6" s="1"/>
  <c r="J30" i="6"/>
  <c r="X30" i="6" s="1"/>
  <c r="R30" i="6"/>
  <c r="U30" i="6" s="1"/>
  <c r="Q30" i="6"/>
  <c r="AL28" i="6"/>
  <c r="AB29" i="6"/>
  <c r="AC29" i="6" s="1"/>
  <c r="Z29" i="6"/>
  <c r="AA29" i="6" s="1"/>
  <c r="F12" i="2"/>
  <c r="G12" i="2" s="1"/>
  <c r="AJ25" i="2"/>
  <c r="AD26" i="2"/>
  <c r="AE26" i="2" s="1"/>
  <c r="AB26" i="2"/>
  <c r="AC26" i="2" s="1"/>
  <c r="AF26" i="2"/>
  <c r="AG26" i="2"/>
  <c r="L27" i="2" l="1"/>
  <c r="M27" i="2" s="1"/>
  <c r="N27" i="2" s="1"/>
  <c r="F28" i="2"/>
  <c r="T29" i="6"/>
  <c r="V29" i="6" s="1"/>
  <c r="K29" i="6"/>
  <c r="S29" i="6" s="1"/>
  <c r="Y30" i="6"/>
  <c r="T30" i="6"/>
  <c r="V30" i="6" s="1"/>
  <c r="AB30" i="6"/>
  <c r="AC30" i="6" s="1"/>
  <c r="Z30" i="6"/>
  <c r="AA30" i="6" s="1"/>
  <c r="AD30" i="6" s="1"/>
  <c r="AJ26" i="2"/>
  <c r="Q27" i="2"/>
  <c r="R27" i="2"/>
  <c r="U27" i="2"/>
  <c r="V27" i="2" s="1"/>
  <c r="W27" i="2" s="1"/>
  <c r="D13" i="2"/>
  <c r="D29" i="2" s="1"/>
  <c r="G28" i="2"/>
  <c r="H12" i="2"/>
  <c r="U12" i="2" s="1"/>
  <c r="I28" i="2" s="1"/>
  <c r="AF29" i="6" l="1"/>
  <c r="AG29" i="6" s="1"/>
  <c r="AD29" i="6"/>
  <c r="AE29" i="6" s="1"/>
  <c r="AF30" i="6"/>
  <c r="AG30" i="6" s="1"/>
  <c r="AE30" i="6"/>
  <c r="O27" i="2"/>
  <c r="P27" i="2"/>
  <c r="S27" i="2" s="1"/>
  <c r="T27" i="2" s="1"/>
  <c r="F13" i="2"/>
  <c r="L28" i="2"/>
  <c r="K28" i="2"/>
  <c r="AH30" i="6"/>
  <c r="AI30" i="6"/>
  <c r="AH29" i="6"/>
  <c r="AI29" i="6"/>
  <c r="AL29" i="6" l="1"/>
  <c r="AL30" i="6"/>
  <c r="Z27" i="2"/>
  <c r="AA27" i="2" s="1"/>
  <c r="X27" i="2"/>
  <c r="Y27" i="2" s="1"/>
  <c r="AB27" i="2" s="1"/>
  <c r="AC27" i="2" s="1"/>
  <c r="G13" i="2"/>
  <c r="F29" i="2"/>
  <c r="R28" i="2"/>
  <c r="U28" i="2"/>
  <c r="V28" i="2" s="1"/>
  <c r="W28" i="2" s="1"/>
  <c r="M28" i="2"/>
  <c r="N28" i="2" s="1"/>
  <c r="Q28" i="2"/>
  <c r="AF27" i="2"/>
  <c r="P28" i="2" l="1"/>
  <c r="S28" i="2" s="1"/>
  <c r="T28" i="2" s="1"/>
  <c r="O28" i="2"/>
  <c r="G29" i="2"/>
  <c r="D14" i="2"/>
  <c r="D30" i="2" s="1"/>
  <c r="H13" i="2"/>
  <c r="U13" i="2" s="1"/>
  <c r="I29" i="2" s="1"/>
  <c r="AD27" i="2"/>
  <c r="AE27" i="2" s="1"/>
  <c r="AG27" i="2"/>
  <c r="AJ27" i="2" l="1"/>
  <c r="F14" i="2"/>
  <c r="L29" i="2"/>
  <c r="K29" i="2"/>
  <c r="X28" i="2"/>
  <c r="Y28" i="2" s="1"/>
  <c r="AB28" i="2" s="1"/>
  <c r="AC28" i="2" s="1"/>
  <c r="Z28" i="2"/>
  <c r="AA28" i="2" s="1"/>
  <c r="AF28" i="2"/>
  <c r="AD28" i="2" l="1"/>
  <c r="AE28" i="2" s="1"/>
  <c r="M29" i="2"/>
  <c r="N29" i="2" s="1"/>
  <c r="U29" i="2"/>
  <c r="V29" i="2" s="1"/>
  <c r="W29" i="2" s="1"/>
  <c r="R29" i="2"/>
  <c r="Q29" i="2"/>
  <c r="G14" i="2"/>
  <c r="F30" i="2"/>
  <c r="AG28" i="2"/>
  <c r="AJ28" i="2" l="1"/>
  <c r="P29" i="2"/>
  <c r="S29" i="2" s="1"/>
  <c r="T29" i="2" s="1"/>
  <c r="O29" i="2"/>
  <c r="G30" i="2"/>
  <c r="H14" i="2"/>
  <c r="U14" i="2" s="1"/>
  <c r="I30" i="2" s="1"/>
  <c r="L30" i="2" l="1"/>
  <c r="K30" i="2"/>
  <c r="Z29" i="2"/>
  <c r="AA29" i="2" s="1"/>
  <c r="X29" i="2"/>
  <c r="Y29" i="2" s="1"/>
  <c r="AB29" i="2" s="1"/>
  <c r="AC29" i="2" s="1"/>
  <c r="AF29" i="2"/>
  <c r="AD29" i="2" l="1"/>
  <c r="AE29" i="2" s="1"/>
  <c r="U30" i="2"/>
  <c r="V30" i="2" s="1"/>
  <c r="W30" i="2" s="1"/>
  <c r="Q30" i="2"/>
  <c r="R30" i="2"/>
  <c r="M30" i="2"/>
  <c r="N30" i="2" s="1"/>
  <c r="AG29" i="2"/>
  <c r="AJ29" i="2" l="1"/>
  <c r="P30" i="2"/>
  <c r="S30" i="2" s="1"/>
  <c r="T30" i="2" s="1"/>
  <c r="O30" i="2"/>
  <c r="X30" i="2" l="1"/>
  <c r="Y30" i="2" s="1"/>
  <c r="AB30" i="2" s="1"/>
  <c r="AC30" i="2" s="1"/>
  <c r="Z30" i="2"/>
  <c r="AA30" i="2" s="1"/>
  <c r="AF30" i="2"/>
  <c r="AD30" i="2" l="1"/>
  <c r="AE30" i="2" s="1"/>
  <c r="AG30" i="2"/>
  <c r="AJ30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5BDF3A-DD77-4BB7-977D-5767040CF2B0}" keepAlive="1" name="Query - 4weken" description="Verbinding maken met de query 4weken in de werkmap." type="5" refreshedVersion="0" background="1" saveData="1">
    <dbPr connection="Provider=Microsoft.Mashup.OleDb.1;Data Source=$Workbook$;Location=4weken;Extended Properties=&quot;&quot;" command="SELECT * FROM [4weken]"/>
  </connection>
</connections>
</file>

<file path=xl/sharedStrings.xml><?xml version="1.0" encoding="utf-8"?>
<sst xmlns="http://schemas.openxmlformats.org/spreadsheetml/2006/main" count="198" uniqueCount="120">
  <si>
    <t>Jaar :</t>
  </si>
  <si>
    <t>Periode</t>
  </si>
  <si>
    <t>Inkomstenperiode</t>
  </si>
  <si>
    <t>DatAanvTv</t>
  </si>
  <si>
    <t>DatEindTv</t>
  </si>
  <si>
    <t>Leeftijd</t>
  </si>
  <si>
    <t>DatAanvIKV</t>
  </si>
  <si>
    <t>DatEindIKV</t>
  </si>
  <si>
    <t>CdRdnEindArbov</t>
  </si>
  <si>
    <t>SrtIV</t>
  </si>
  <si>
    <t>CdAard</t>
  </si>
  <si>
    <t>AantVerlU</t>
  </si>
  <si>
    <t>LnSV</t>
  </si>
  <si>
    <t>VakBsl</t>
  </si>
  <si>
    <t>OpgRchtVakBsl</t>
  </si>
  <si>
    <t>OpnAvwb</t>
  </si>
  <si>
    <t>OpbAvwb</t>
  </si>
  <si>
    <t>LnInGld</t>
  </si>
  <si>
    <t>&lt;RegLn&gt;</t>
  </si>
  <si>
    <t>Verloningsperiodiciteit :</t>
  </si>
  <si>
    <t>Vierwekelijks</t>
  </si>
  <si>
    <t>Geboortedatum werknemer :</t>
  </si>
  <si>
    <t>Aanvang inkomstenverhouding:</t>
  </si>
  <si>
    <t>Einde inkomstenverhouding:</t>
  </si>
  <si>
    <t>Sector:</t>
  </si>
  <si>
    <t>Zorgvervoer en taxi</t>
  </si>
  <si>
    <t>Normuren per week:</t>
  </si>
  <si>
    <t>Excedentregeling:</t>
  </si>
  <si>
    <t>Zie Loonaangiftebericht</t>
  </si>
  <si>
    <t>basis grondslag</t>
  </si>
  <si>
    <t>excedent grondslag</t>
  </si>
  <si>
    <t>basis premie</t>
  </si>
  <si>
    <t>excedent premie</t>
  </si>
  <si>
    <t>wia excedent premie</t>
  </si>
  <si>
    <t>ao-pensioen premie</t>
  </si>
  <si>
    <t>totaal premie</t>
  </si>
  <si>
    <t>ingangsdatum</t>
  </si>
  <si>
    <t>einddatum</t>
  </si>
  <si>
    <t>&lt;AantVerlU&gt;</t>
  </si>
  <si>
    <t>normuren per week</t>
  </si>
  <si>
    <t>startdatum</t>
  </si>
  <si>
    <t>dagen in periode</t>
  </si>
  <si>
    <t>deel periode</t>
  </si>
  <si>
    <t>deel van jaar berekening</t>
  </si>
  <si>
    <t>normuren periode</t>
  </si>
  <si>
    <t>cum regelingloon</t>
  </si>
  <si>
    <t>cum uren voor regeling</t>
  </si>
  <si>
    <t>cum normuren</t>
  </si>
  <si>
    <t>parttime%</t>
  </si>
  <si>
    <t>franchise per uur</t>
  </si>
  <si>
    <t>franchise periode</t>
  </si>
  <si>
    <t>cum franchise</t>
  </si>
  <si>
    <t>max_loon_basis 
per periode</t>
  </si>
  <si>
    <t>cum max_loon</t>
  </si>
  <si>
    <t>max_loon_exc 
per periode</t>
  </si>
  <si>
    <t>cum max_fiscaal_loon</t>
  </si>
  <si>
    <t>cumulatief</t>
  </si>
  <si>
    <t>aanwas</t>
  </si>
  <si>
    <t>per periode</t>
  </si>
  <si>
    <t>Inkomsten-periode</t>
  </si>
  <si>
    <t>CdIncInkVerm</t>
  </si>
  <si>
    <t>RegUren</t>
  </si>
  <si>
    <t>Loon na einde IKV</t>
  </si>
  <si>
    <t>Uren na einde IKV</t>
  </si>
  <si>
    <t>Maandelijks</t>
  </si>
  <si>
    <t xml:space="preserve">Gegevens vanuit het ontvangsportaal LAK  </t>
  </si>
  <si>
    <t xml:space="preserve"> Berekeningsgrondslag in de pensioenadministratie</t>
  </si>
  <si>
    <t>wia-aanvulling premie</t>
  </si>
  <si>
    <t>&lt;RegUren&gt;</t>
  </si>
  <si>
    <t>Besloten Bus</t>
  </si>
  <si>
    <t>Orsima</t>
  </si>
  <si>
    <t>Goederenvervoer en kraanverhuur</t>
  </si>
  <si>
    <t>4-wekelijkse kalender</t>
  </si>
  <si>
    <t>Maandelijkse kalender</t>
  </si>
  <si>
    <t>Jaar</t>
  </si>
  <si>
    <t>Begin</t>
  </si>
  <si>
    <t>Eind</t>
  </si>
  <si>
    <t>ingang</t>
  </si>
  <si>
    <t>eind</t>
  </si>
  <si>
    <t>&gt;</t>
  </si>
  <si>
    <t>franchise</t>
  </si>
  <si>
    <t>max loon</t>
  </si>
  <si>
    <t>max loon exc</t>
  </si>
  <si>
    <t>premieperc</t>
  </si>
  <si>
    <t>Code Soort</t>
  </si>
  <si>
    <t>Code Aard</t>
  </si>
  <si>
    <t>Code Einde</t>
  </si>
  <si>
    <t>januari</t>
  </si>
  <si>
    <t>februari</t>
  </si>
  <si>
    <t>maart</t>
  </si>
  <si>
    <t>april</t>
  </si>
  <si>
    <t>mei</t>
  </si>
  <si>
    <t>Sector</t>
  </si>
  <si>
    <t>Franchise</t>
  </si>
  <si>
    <t>Max basis</t>
  </si>
  <si>
    <t>Max Excedent</t>
  </si>
  <si>
    <t>Premie tot</t>
  </si>
  <si>
    <t>Premie wg</t>
  </si>
  <si>
    <t>Premie wn</t>
  </si>
  <si>
    <t>Normuren</t>
  </si>
  <si>
    <t>juni</t>
  </si>
  <si>
    <t>Beroepsgoederenvervoer Cao - belangrijkste punten toegelicht | Flexpedia</t>
  </si>
  <si>
    <t>juli</t>
  </si>
  <si>
    <t>Zorgvervoer en Taxi cao 2026-2027</t>
  </si>
  <si>
    <t>augustus</t>
  </si>
  <si>
    <t>Besloten Busvervoer cao 2025-2026</t>
  </si>
  <si>
    <t>september</t>
  </si>
  <si>
    <t>Orsima-Cao-1-maart-2025-30-april-2026.pdf</t>
  </si>
  <si>
    <t>oktober</t>
  </si>
  <si>
    <t>Overig</t>
  </si>
  <si>
    <t>november</t>
  </si>
  <si>
    <t>december</t>
  </si>
  <si>
    <t>Beschrijving Uitgangssituatie</t>
  </si>
  <si>
    <t>Werknemer is vóór 1-1-2027 in dienst getreden.</t>
  </si>
  <si>
    <t>Werkt het hele jaar 2027; geen einde inkomstenverhouding.</t>
  </si>
  <si>
    <t>Loon blijft onder maximum loongrens basisregeling.</t>
  </si>
  <si>
    <t>Vakantiebijslag en arbeidsvoorwaardenbedrag: opbouw en uitkering.</t>
  </si>
  <si>
    <t>Werkt fulltime met gemiddeld aantal verloonde uren.</t>
  </si>
  <si>
    <t>Geen overuren.</t>
  </si>
  <si>
    <t>Geen verdere onregelmatige looncomponenten.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</si>
</sst>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dd/mm/yyyy"/>
    <numFmt numFmtId="165" formatCode="00"/>
    <numFmt numFmtId="166" formatCode="_ * #,##0.000_ ;_ * \-#,##0.000_ ;_ * &quot;-&quot;??_ ;_ @_ "/>
    <numFmt numFmtId="167" formatCode="_ * #,##0.00000_ ;_ * \-#,##0.00000_ ;_ * &quot;-&quot;??_ ;_ @_ "/>
    <numFmt numFmtId="168" formatCode="_ * #,##0.0_ ;_ * \-#,##0.0_ ;_ * &quot;-&quot;??_ ;_ @_ "/>
    <numFmt numFmtId="170" formatCode="0.000%"/>
    <numFmt numFmtId="171" formatCode="&quot;€&quot;\ #,##0.00"/>
    <numFmt numFmtId="173" formatCode="#,##0.000_ ;\-#,##0.000\ "/>
    <numFmt numFmtId="174" formatCode="0.000000"/>
    <numFmt numFmtId="175" formatCode="0.0000%"/>
    <numFmt numFmtId="176" formatCode="0.00_ ;[Red]\-0.00\ "/>
  </numFmts>
  <fonts count="16" x14ac:knownFonts="1"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name val="Aptos Narrow"/>
      <family val="2"/>
      <scheme val="minor"/>
    </font>
    <font>
      <i/>
      <sz val="10"/>
      <color theme="1"/>
      <name val="Arial"/>
      <family val="2"/>
    </font>
    <font>
      <b/>
      <sz val="11"/>
      <name val="Aptos Narrow"/>
      <family val="2"/>
      <scheme val="minor"/>
    </font>
    <font>
      <b/>
      <sz val="10"/>
      <name val="Arial"/>
      <family val="2"/>
    </font>
    <font>
      <u/>
      <sz val="11"/>
      <color theme="10"/>
      <name val="Aptos Narrow"/>
      <family val="2"/>
      <scheme val="minor"/>
    </font>
    <font>
      <sz val="10"/>
      <color theme="3"/>
      <name val="Arial"/>
      <family val="2"/>
    </font>
    <font>
      <sz val="10"/>
      <color theme="0"/>
      <name val="Arial"/>
      <family val="2"/>
    </font>
    <font>
      <b/>
      <sz val="10"/>
      <color theme="3"/>
      <name val="Arial"/>
      <family val="2"/>
    </font>
    <font>
      <b/>
      <sz val="11"/>
      <color theme="3"/>
      <name val="Aptos Narrow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 tint="-0.14999847407452621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C1BB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B9489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000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theme="0" tint="-0.14999847407452621"/>
      </patternFill>
    </fill>
    <fill>
      <patternFill patternType="solid">
        <fgColor theme="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/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/>
      <top/>
      <bottom/>
      <diagonal/>
    </border>
    <border>
      <left/>
      <right style="medium">
        <color rgb="FFC00000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rgb="FFC00000"/>
      </left>
      <right style="thin">
        <color rgb="FFC00000"/>
      </right>
      <top style="medium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medium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medium">
        <color rgb="FFC00000"/>
      </top>
      <bottom style="thin">
        <color rgb="FFC00000"/>
      </bottom>
      <diagonal/>
    </border>
    <border>
      <left style="medium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rgb="FFC00000"/>
      </left>
      <right style="thin">
        <color rgb="FFC00000"/>
      </right>
      <top style="thin">
        <color rgb="FFC00000"/>
      </top>
      <bottom style="medium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medium">
        <color rgb="FFC00000"/>
      </bottom>
      <diagonal/>
    </border>
    <border>
      <left style="thin">
        <color rgb="FFC00000"/>
      </left>
      <right style="medium">
        <color rgb="FFC00000"/>
      </right>
      <top style="thin">
        <color rgb="FFC00000"/>
      </top>
      <bottom style="medium">
        <color rgb="FFC00000"/>
      </bottom>
      <diagonal/>
    </border>
    <border>
      <left style="thin">
        <color theme="0"/>
      </left>
      <right style="thin">
        <color rgb="FFC00000"/>
      </right>
      <top style="medium">
        <color rgb="FFC00000"/>
      </top>
      <bottom style="thin">
        <color rgb="FFC00000"/>
      </bottom>
      <diagonal/>
    </border>
    <border>
      <left style="thin">
        <color rgb="FFC00000"/>
      </left>
      <right/>
      <top style="medium">
        <color rgb="FFC00000"/>
      </top>
      <bottom style="thin">
        <color rgb="FFC00000"/>
      </bottom>
      <diagonal/>
    </border>
    <border>
      <left style="thin">
        <color theme="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theme="0"/>
      </left>
      <right/>
      <top style="medium">
        <color rgb="FFC00000"/>
      </top>
      <bottom style="thin">
        <color rgb="FFC00000"/>
      </bottom>
      <diagonal/>
    </border>
    <border>
      <left/>
      <right/>
      <top style="medium">
        <color rgb="FFC00000"/>
      </top>
      <bottom style="thin">
        <color rgb="FFC00000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" borderId="2" applyNumberFormat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97">
    <xf numFmtId="0" fontId="0" fillId="0" borderId="0" xfId="0"/>
    <xf numFmtId="0" fontId="0" fillId="0" borderId="0" xfId="0" applyAlignment="1">
      <alignment horizontal="center"/>
    </xf>
    <xf numFmtId="0" fontId="8" fillId="8" borderId="13" xfId="4" applyFont="1" applyFill="1" applyBorder="1" applyAlignment="1">
      <alignment vertical="top" wrapText="1"/>
    </xf>
    <xf numFmtId="0" fontId="8" fillId="8" borderId="7" xfId="4" applyFont="1" applyFill="1" applyBorder="1" applyAlignment="1">
      <alignment vertical="top" wrapText="1"/>
    </xf>
    <xf numFmtId="0" fontId="8" fillId="8" borderId="13" xfId="4" applyFont="1" applyFill="1" applyBorder="1" applyAlignment="1">
      <alignment horizontal="center" vertical="top" wrapText="1"/>
    </xf>
    <xf numFmtId="2" fontId="2" fillId="7" borderId="11" xfId="4" applyNumberFormat="1" applyFill="1" applyBorder="1" applyProtection="1">
      <protection locked="0"/>
    </xf>
    <xf numFmtId="10" fontId="2" fillId="7" borderId="10" xfId="3" applyNumberFormat="1" applyFont="1" applyFill="1" applyBorder="1"/>
    <xf numFmtId="4" fontId="2" fillId="7" borderId="0" xfId="1" applyNumberFormat="1" applyFont="1" applyFill="1" applyBorder="1"/>
    <xf numFmtId="10" fontId="2" fillId="7" borderId="11" xfId="3" applyNumberFormat="1" applyFont="1" applyFill="1" applyBorder="1"/>
    <xf numFmtId="14" fontId="2" fillId="7" borderId="14" xfId="4" applyNumberFormat="1" applyFill="1" applyBorder="1"/>
    <xf numFmtId="0" fontId="2" fillId="7" borderId="14" xfId="4" applyFill="1" applyBorder="1" applyAlignment="1">
      <alignment horizontal="center"/>
    </xf>
    <xf numFmtId="166" fontId="2" fillId="7" borderId="14" xfId="4" applyNumberFormat="1" applyFill="1" applyBorder="1"/>
    <xf numFmtId="167" fontId="2" fillId="7" borderId="14" xfId="1" applyNumberFormat="1" applyFont="1" applyFill="1" applyBorder="1"/>
    <xf numFmtId="168" fontId="2" fillId="7" borderId="15" xfId="1" applyNumberFormat="1" applyFont="1" applyFill="1" applyBorder="1"/>
    <xf numFmtId="4" fontId="2" fillId="7" borderId="14" xfId="1" applyNumberFormat="1" applyFont="1" applyFill="1" applyBorder="1"/>
    <xf numFmtId="0" fontId="9" fillId="7" borderId="0" xfId="6" applyFont="1" applyFill="1"/>
    <xf numFmtId="0" fontId="7" fillId="7" borderId="0" xfId="6" applyFont="1" applyFill="1"/>
    <xf numFmtId="0" fontId="4" fillId="0" borderId="0" xfId="6"/>
    <xf numFmtId="0" fontId="1" fillId="7" borderId="0" xfId="4" applyFont="1" applyFill="1"/>
    <xf numFmtId="0" fontId="7" fillId="7" borderId="0" xfId="6" applyFont="1" applyFill="1" applyAlignment="1">
      <alignment horizontal="center"/>
    </xf>
    <xf numFmtId="14" fontId="7" fillId="7" borderId="9" xfId="6" applyNumberFormat="1" applyFont="1" applyFill="1" applyBorder="1"/>
    <xf numFmtId="14" fontId="7" fillId="7" borderId="0" xfId="6" applyNumberFormat="1" applyFont="1" applyFill="1"/>
    <xf numFmtId="0" fontId="11" fillId="0" borderId="0" xfId="10"/>
    <xf numFmtId="164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8" fillId="8" borderId="7" xfId="4" applyFont="1" applyFill="1" applyBorder="1" applyAlignment="1">
      <alignment horizontal="center" vertical="top" wrapText="1"/>
    </xf>
    <xf numFmtId="168" fontId="2" fillId="7" borderId="11" xfId="1" applyNumberFormat="1" applyFont="1" applyFill="1" applyBorder="1" applyAlignment="1">
      <alignment horizontal="center"/>
    </xf>
    <xf numFmtId="44" fontId="2" fillId="7" borderId="0" xfId="2" applyFont="1" applyFill="1" applyBorder="1"/>
    <xf numFmtId="0" fontId="8" fillId="8" borderId="0" xfId="4" applyFont="1" applyFill="1" applyAlignment="1">
      <alignment vertical="top" wrapText="1"/>
    </xf>
    <xf numFmtId="0" fontId="0" fillId="7" borderId="0" xfId="0" applyFill="1"/>
    <xf numFmtId="0" fontId="5" fillId="10" borderId="0" xfId="0" applyFont="1" applyFill="1"/>
    <xf numFmtId="4" fontId="0" fillId="9" borderId="0" xfId="0" applyNumberFormat="1" applyFill="1"/>
    <xf numFmtId="4" fontId="5" fillId="9" borderId="0" xfId="0" applyNumberFormat="1" applyFont="1" applyFill="1" applyAlignment="1">
      <alignment horizontal="right" vertical="top" wrapText="1"/>
    </xf>
    <xf numFmtId="14" fontId="2" fillId="7" borderId="0" xfId="4" applyNumberFormat="1" applyFill="1"/>
    <xf numFmtId="44" fontId="0" fillId="9" borderId="0" xfId="2" applyFont="1" applyFill="1" applyBorder="1"/>
    <xf numFmtId="0" fontId="2" fillId="7" borderId="0" xfId="4" applyFill="1" applyAlignment="1">
      <alignment horizontal="center"/>
    </xf>
    <xf numFmtId="166" fontId="2" fillId="7" borderId="0" xfId="4" applyNumberFormat="1" applyFill="1" applyAlignment="1">
      <alignment horizontal="center"/>
    </xf>
    <xf numFmtId="167" fontId="2" fillId="7" borderId="0" xfId="1" applyNumberFormat="1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3" fillId="3" borderId="0" xfId="0" applyFont="1" applyFill="1" applyAlignment="1">
      <alignment horizontal="right"/>
    </xf>
    <xf numFmtId="0" fontId="0" fillId="7" borderId="0" xfId="0" applyFill="1" applyAlignment="1">
      <alignment horizontal="center"/>
    </xf>
    <xf numFmtId="164" fontId="0" fillId="7" borderId="0" xfId="0" applyNumberFormat="1" applyFill="1" applyAlignment="1">
      <alignment horizontal="center"/>
    </xf>
    <xf numFmtId="1" fontId="0" fillId="7" borderId="0" xfId="0" applyNumberFormat="1" applyFill="1" applyAlignment="1">
      <alignment horizontal="center"/>
    </xf>
    <xf numFmtId="165" fontId="0" fillId="4" borderId="0" xfId="0" applyNumberFormat="1" applyFill="1" applyAlignment="1">
      <alignment horizontal="center"/>
    </xf>
    <xf numFmtId="44" fontId="0" fillId="4" borderId="0" xfId="2" applyFont="1" applyFill="1" applyBorder="1" applyAlignment="1">
      <alignment horizontal="right" indent="1"/>
    </xf>
    <xf numFmtId="0" fontId="0" fillId="4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14" fontId="7" fillId="4" borderId="0" xfId="5" applyNumberFormat="1" applyFont="1" applyFill="1" applyBorder="1" applyAlignment="1" applyProtection="1">
      <alignment horizontal="left"/>
      <protection locked="0"/>
    </xf>
    <xf numFmtId="14" fontId="7" fillId="0" borderId="0" xfId="5" applyNumberFormat="1" applyFont="1" applyFill="1" applyBorder="1" applyAlignment="1" applyProtection="1">
      <alignment horizontal="left"/>
      <protection locked="0"/>
    </xf>
    <xf numFmtId="44" fontId="12" fillId="11" borderId="0" xfId="2" applyFont="1" applyFill="1" applyBorder="1"/>
    <xf numFmtId="44" fontId="2" fillId="7" borderId="14" xfId="2" applyFont="1" applyFill="1" applyBorder="1"/>
    <xf numFmtId="44" fontId="12" fillId="11" borderId="14" xfId="2" applyFont="1" applyFill="1" applyBorder="1"/>
    <xf numFmtId="0" fontId="5" fillId="10" borderId="12" xfId="0" applyFont="1" applyFill="1" applyBorder="1"/>
    <xf numFmtId="0" fontId="0" fillId="0" borderId="14" xfId="0" applyBorder="1"/>
    <xf numFmtId="0" fontId="5" fillId="10" borderId="18" xfId="0" applyFont="1" applyFill="1" applyBorder="1"/>
    <xf numFmtId="0" fontId="8" fillId="8" borderId="16" xfId="4" applyFont="1" applyFill="1" applyBorder="1" applyAlignment="1">
      <alignment vertical="top" wrapText="1"/>
    </xf>
    <xf numFmtId="44" fontId="12" fillId="11" borderId="16" xfId="2" applyFont="1" applyFill="1" applyBorder="1"/>
    <xf numFmtId="44" fontId="12" fillId="11" borderId="19" xfId="2" applyFont="1" applyFill="1" applyBorder="1"/>
    <xf numFmtId="10" fontId="2" fillId="7" borderId="14" xfId="3" applyNumberFormat="1" applyFont="1" applyFill="1" applyBorder="1"/>
    <xf numFmtId="0" fontId="0" fillId="0" borderId="14" xfId="0" applyBorder="1" applyAlignment="1">
      <alignment horizontal="center"/>
    </xf>
    <xf numFmtId="4" fontId="0" fillId="9" borderId="14" xfId="0" applyNumberFormat="1" applyFill="1" applyBorder="1"/>
    <xf numFmtId="44" fontId="0" fillId="9" borderId="14" xfId="2" applyFont="1" applyFill="1" applyBorder="1"/>
    <xf numFmtId="2" fontId="2" fillId="7" borderId="14" xfId="4" applyNumberFormat="1" applyFill="1" applyBorder="1" applyProtection="1">
      <protection locked="0"/>
    </xf>
    <xf numFmtId="0" fontId="3" fillId="3" borderId="20" xfId="0" applyFont="1" applyFill="1" applyBorder="1" applyAlignment="1">
      <alignment horizontal="right"/>
    </xf>
    <xf numFmtId="0" fontId="3" fillId="3" borderId="21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left"/>
    </xf>
    <xf numFmtId="0" fontId="3" fillId="6" borderId="22" xfId="0" applyFont="1" applyFill="1" applyBorder="1" applyAlignment="1">
      <alignment horizontal="left"/>
    </xf>
    <xf numFmtId="0" fontId="0" fillId="0" borderId="12" xfId="0" applyBorder="1" applyAlignment="1">
      <alignment horizontal="center"/>
    </xf>
    <xf numFmtId="44" fontId="0" fillId="7" borderId="23" xfId="2" applyFont="1" applyFill="1" applyBorder="1" applyAlignment="1">
      <alignment horizontal="right" indent="2"/>
    </xf>
    <xf numFmtId="0" fontId="0" fillId="0" borderId="24" xfId="0" applyBorder="1" applyAlignment="1">
      <alignment horizontal="center"/>
    </xf>
    <xf numFmtId="0" fontId="0" fillId="7" borderId="25" xfId="0" applyFill="1" applyBorder="1" applyAlignment="1">
      <alignment horizontal="center"/>
    </xf>
    <xf numFmtId="164" fontId="0" fillId="7" borderId="25" xfId="0" applyNumberFormat="1" applyFill="1" applyBorder="1" applyAlignment="1">
      <alignment horizontal="center"/>
    </xf>
    <xf numFmtId="1" fontId="0" fillId="7" borderId="25" xfId="0" applyNumberFormat="1" applyFill="1" applyBorder="1" applyAlignment="1">
      <alignment horizontal="center"/>
    </xf>
    <xf numFmtId="165" fontId="0" fillId="4" borderId="25" xfId="0" applyNumberFormat="1" applyFill="1" applyBorder="1" applyAlignment="1">
      <alignment horizontal="center"/>
    </xf>
    <xf numFmtId="44" fontId="0" fillId="4" borderId="25" xfId="2" applyFont="1" applyFill="1" applyBorder="1" applyAlignment="1">
      <alignment horizontal="right" indent="1"/>
    </xf>
    <xf numFmtId="44" fontId="0" fillId="7" borderId="26" xfId="2" applyFont="1" applyFill="1" applyBorder="1" applyAlignment="1">
      <alignment horizontal="right" indent="2"/>
    </xf>
    <xf numFmtId="0" fontId="0" fillId="0" borderId="0" xfId="0" applyAlignment="1">
      <alignment vertical="center"/>
    </xf>
    <xf numFmtId="0" fontId="3" fillId="6" borderId="1" xfId="0" applyFont="1" applyFill="1" applyBorder="1" applyAlignment="1">
      <alignment horizontal="left" vertical="center" wrapText="1"/>
    </xf>
    <xf numFmtId="0" fontId="3" fillId="3" borderId="27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center" wrapText="1"/>
    </xf>
    <xf numFmtId="0" fontId="3" fillId="18" borderId="0" xfId="0" applyFont="1" applyFill="1" applyAlignment="1">
      <alignment horizontal="right" vertical="center"/>
    </xf>
    <xf numFmtId="0" fontId="3" fillId="18" borderId="1" xfId="0" applyFont="1" applyFill="1" applyBorder="1" applyAlignment="1">
      <alignment horizontal="center" vertical="center" wrapText="1"/>
    </xf>
    <xf numFmtId="0" fontId="3" fillId="18" borderId="1" xfId="0" applyFont="1" applyFill="1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14" fillId="14" borderId="1" xfId="0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164" fontId="14" fillId="14" borderId="1" xfId="0" applyNumberFormat="1" applyFont="1" applyFill="1" applyBorder="1" applyAlignment="1">
      <alignment horizontal="center" vertical="center"/>
    </xf>
    <xf numFmtId="14" fontId="15" fillId="14" borderId="1" xfId="5" applyNumberFormat="1" applyFont="1" applyFill="1" applyBorder="1" applyAlignment="1" applyProtection="1">
      <alignment horizontal="center" vertical="center"/>
      <protection locked="0"/>
    </xf>
    <xf numFmtId="2" fontId="14" fillId="5" borderId="1" xfId="0" applyNumberFormat="1" applyFont="1" applyFill="1" applyBorder="1" applyAlignment="1">
      <alignment horizontal="center" vertical="center"/>
    </xf>
    <xf numFmtId="164" fontId="14" fillId="17" borderId="1" xfId="0" applyNumberFormat="1" applyFont="1" applyFill="1" applyBorder="1" applyAlignment="1">
      <alignment horizontal="center" vertical="center"/>
    </xf>
    <xf numFmtId="165" fontId="12" fillId="14" borderId="1" xfId="0" applyNumberFormat="1" applyFont="1" applyFill="1" applyBorder="1" applyAlignment="1">
      <alignment horizontal="center" vertical="center"/>
    </xf>
    <xf numFmtId="171" fontId="12" fillId="14" borderId="1" xfId="2" applyNumberFormat="1" applyFont="1" applyFill="1" applyBorder="1" applyAlignment="1">
      <alignment horizontal="right" vertical="center" indent="1"/>
    </xf>
    <xf numFmtId="165" fontId="12" fillId="4" borderId="1" xfId="0" applyNumberFormat="1" applyFont="1" applyFill="1" applyBorder="1" applyAlignment="1">
      <alignment horizontal="center" vertical="center"/>
    </xf>
    <xf numFmtId="171" fontId="12" fillId="4" borderId="1" xfId="2" applyNumberFormat="1" applyFont="1" applyFill="1" applyBorder="1" applyAlignment="1">
      <alignment horizontal="right" vertical="center" indent="1"/>
    </xf>
    <xf numFmtId="0" fontId="1" fillId="1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8" fillId="8" borderId="34" xfId="4" applyFont="1" applyFill="1" applyBorder="1" applyAlignment="1">
      <alignment horizontal="center" vertical="center" wrapText="1"/>
    </xf>
    <xf numFmtId="0" fontId="8" fillId="8" borderId="34" xfId="4" applyFont="1" applyFill="1" applyBorder="1" applyAlignment="1">
      <alignment vertical="center" wrapText="1"/>
    </xf>
    <xf numFmtId="0" fontId="2" fillId="7" borderId="34" xfId="4" applyFill="1" applyBorder="1" applyAlignment="1">
      <alignment horizontal="center" vertical="center"/>
    </xf>
    <xf numFmtId="164" fontId="2" fillId="7" borderId="34" xfId="4" applyNumberFormat="1" applyFill="1" applyBorder="1" applyAlignment="1">
      <alignment horizontal="center" vertical="center"/>
    </xf>
    <xf numFmtId="2" fontId="2" fillId="7" borderId="34" xfId="4" applyNumberFormat="1" applyFill="1" applyBorder="1" applyAlignment="1" applyProtection="1">
      <alignment horizontal="right" vertical="center" indent="1"/>
      <protection locked="0"/>
    </xf>
    <xf numFmtId="173" fontId="2" fillId="7" borderId="34" xfId="4" applyNumberFormat="1" applyFill="1" applyBorder="1" applyAlignment="1">
      <alignment horizontal="center" vertical="center"/>
    </xf>
    <xf numFmtId="174" fontId="2" fillId="7" borderId="34" xfId="1" applyNumberFormat="1" applyFont="1" applyFill="1" applyBorder="1" applyAlignment="1">
      <alignment horizontal="center" vertical="center"/>
    </xf>
    <xf numFmtId="2" fontId="2" fillId="7" borderId="34" xfId="1" applyNumberFormat="1" applyFont="1" applyFill="1" applyBorder="1" applyAlignment="1">
      <alignment horizontal="right" vertical="center" indent="1"/>
    </xf>
    <xf numFmtId="171" fontId="2" fillId="7" borderId="34" xfId="2" applyNumberFormat="1" applyFont="1" applyFill="1" applyBorder="1" applyAlignment="1">
      <alignment horizontal="right" vertical="center" indent="1"/>
    </xf>
    <xf numFmtId="4" fontId="2" fillId="7" borderId="34" xfId="1" applyNumberFormat="1" applyFont="1" applyFill="1" applyBorder="1" applyAlignment="1">
      <alignment horizontal="right" vertical="center" indent="1"/>
    </xf>
    <xf numFmtId="175" fontId="2" fillId="7" borderId="34" xfId="3" applyNumberFormat="1" applyFont="1" applyFill="1" applyBorder="1" applyAlignment="1">
      <alignment horizontal="right" vertical="center" indent="1"/>
    </xf>
    <xf numFmtId="171" fontId="2" fillId="7" borderId="34" xfId="1" applyNumberFormat="1" applyFont="1" applyFill="1" applyBorder="1" applyAlignment="1">
      <alignment horizontal="right" vertical="center" indent="1"/>
    </xf>
    <xf numFmtId="8" fontId="2" fillId="7" borderId="34" xfId="2" applyNumberFormat="1" applyFont="1" applyFill="1" applyBorder="1" applyAlignment="1">
      <alignment horizontal="right" vertical="center" indent="1"/>
    </xf>
    <xf numFmtId="8" fontId="12" fillId="11" borderId="34" xfId="2" applyNumberFormat="1" applyFont="1" applyFill="1" applyBorder="1" applyAlignment="1">
      <alignment horizontal="right" vertical="center" indent="1"/>
    </xf>
    <xf numFmtId="0" fontId="8" fillId="8" borderId="39" xfId="4" applyFont="1" applyFill="1" applyBorder="1" applyAlignment="1">
      <alignment vertical="center" wrapText="1"/>
    </xf>
    <xf numFmtId="0" fontId="0" fillId="0" borderId="38" xfId="0" applyBorder="1" applyAlignment="1">
      <alignment horizontal="center" vertical="center"/>
    </xf>
    <xf numFmtId="8" fontId="12" fillId="11" borderId="39" xfId="2" applyNumberFormat="1" applyFont="1" applyFill="1" applyBorder="1" applyAlignment="1">
      <alignment horizontal="right" vertical="center" indent="1"/>
    </xf>
    <xf numFmtId="0" fontId="0" fillId="0" borderId="40" xfId="0" applyBorder="1" applyAlignment="1">
      <alignment horizontal="center" vertical="center"/>
    </xf>
    <xf numFmtId="0" fontId="2" fillId="7" borderId="41" xfId="4" applyFill="1" applyBorder="1" applyAlignment="1">
      <alignment horizontal="center" vertical="center"/>
    </xf>
    <xf numFmtId="164" fontId="2" fillId="7" borderId="41" xfId="4" applyNumberFormat="1" applyFill="1" applyBorder="1" applyAlignment="1">
      <alignment horizontal="center" vertical="center"/>
    </xf>
    <xf numFmtId="2" fontId="2" fillId="7" borderId="41" xfId="4" applyNumberFormat="1" applyFill="1" applyBorder="1" applyAlignment="1" applyProtection="1">
      <alignment horizontal="right" vertical="center" indent="1"/>
      <protection locked="0"/>
    </xf>
    <xf numFmtId="173" fontId="2" fillId="7" borderId="41" xfId="4" applyNumberFormat="1" applyFill="1" applyBorder="1" applyAlignment="1">
      <alignment horizontal="center" vertical="center"/>
    </xf>
    <xf numFmtId="2" fontId="2" fillId="7" borderId="41" xfId="1" applyNumberFormat="1" applyFont="1" applyFill="1" applyBorder="1" applyAlignment="1">
      <alignment horizontal="right" vertical="center" indent="1"/>
    </xf>
    <xf numFmtId="171" fontId="2" fillId="7" borderId="41" xfId="2" applyNumberFormat="1" applyFont="1" applyFill="1" applyBorder="1" applyAlignment="1">
      <alignment horizontal="right" vertical="center" indent="1"/>
    </xf>
    <xf numFmtId="4" fontId="2" fillId="7" borderId="41" xfId="1" applyNumberFormat="1" applyFont="1" applyFill="1" applyBorder="1" applyAlignment="1">
      <alignment horizontal="right" vertical="center" indent="1"/>
    </xf>
    <xf numFmtId="171" fontId="2" fillId="7" borderId="41" xfId="1" applyNumberFormat="1" applyFont="1" applyFill="1" applyBorder="1" applyAlignment="1">
      <alignment horizontal="right" vertical="center" indent="1"/>
    </xf>
    <xf numFmtId="8" fontId="2" fillId="7" borderId="41" xfId="2" applyNumberFormat="1" applyFont="1" applyFill="1" applyBorder="1" applyAlignment="1">
      <alignment horizontal="right" vertical="center" indent="1"/>
    </xf>
    <xf numFmtId="8" fontId="12" fillId="11" borderId="41" xfId="2" applyNumberFormat="1" applyFont="1" applyFill="1" applyBorder="1" applyAlignment="1">
      <alignment horizontal="right" vertical="center" indent="1"/>
    </xf>
    <xf numFmtId="8" fontId="12" fillId="11" borderId="42" xfId="2" applyNumberFormat="1" applyFont="1" applyFill="1" applyBorder="1" applyAlignment="1">
      <alignment horizontal="right" vertical="center" indent="1"/>
    </xf>
    <xf numFmtId="0" fontId="0" fillId="6" borderId="35" xfId="0" applyFill="1" applyBorder="1"/>
    <xf numFmtId="0" fontId="0" fillId="6" borderId="36" xfId="0" applyFill="1" applyBorder="1" applyAlignment="1">
      <alignment horizontal="center"/>
    </xf>
    <xf numFmtId="0" fontId="13" fillId="6" borderId="36" xfId="0" applyFont="1" applyFill="1" applyBorder="1"/>
    <xf numFmtId="0" fontId="13" fillId="6" borderId="36" xfId="0" applyFont="1" applyFill="1" applyBorder="1" applyAlignment="1">
      <alignment horizontal="center"/>
    </xf>
    <xf numFmtId="0" fontId="3" fillId="6" borderId="36" xfId="0" applyFont="1" applyFill="1" applyBorder="1"/>
    <xf numFmtId="0" fontId="3" fillId="6" borderId="37" xfId="0" applyFont="1" applyFill="1" applyBorder="1"/>
    <xf numFmtId="174" fontId="2" fillId="7" borderId="41" xfId="1" applyNumberFormat="1" applyFont="1" applyFill="1" applyBorder="1" applyAlignment="1">
      <alignment horizontal="center" vertical="center"/>
    </xf>
    <xf numFmtId="8" fontId="0" fillId="0" borderId="1" xfId="2" applyNumberFormat="1" applyFont="1" applyFill="1" applyBorder="1" applyAlignment="1">
      <alignment horizontal="right" vertical="center" indent="1"/>
    </xf>
    <xf numFmtId="176" fontId="0" fillId="0" borderId="5" xfId="2" applyNumberFormat="1" applyFont="1" applyFill="1" applyBorder="1" applyAlignment="1">
      <alignment horizontal="right" vertical="center" indent="1"/>
    </xf>
    <xf numFmtId="176" fontId="0" fillId="0" borderId="1" xfId="2" applyNumberFormat="1" applyFont="1" applyFill="1" applyBorder="1" applyAlignment="1">
      <alignment horizontal="right" vertical="center" indent="1"/>
    </xf>
    <xf numFmtId="176" fontId="0" fillId="0" borderId="8" xfId="2" applyNumberFormat="1" applyFont="1" applyFill="1" applyBorder="1" applyAlignment="1">
      <alignment horizontal="right" vertical="center" indent="1"/>
    </xf>
    <xf numFmtId="176" fontId="0" fillId="16" borderId="34" xfId="0" applyNumberFormat="1" applyFill="1" applyBorder="1" applyAlignment="1">
      <alignment horizontal="right" vertical="center" indent="1"/>
    </xf>
    <xf numFmtId="176" fontId="0" fillId="0" borderId="34" xfId="0" applyNumberFormat="1" applyBorder="1" applyAlignment="1">
      <alignment horizontal="right" vertical="center" indent="1"/>
    </xf>
    <xf numFmtId="176" fontId="0" fillId="16" borderId="41" xfId="0" applyNumberFormat="1" applyFill="1" applyBorder="1" applyAlignment="1">
      <alignment horizontal="right" vertical="center" indent="1"/>
    </xf>
    <xf numFmtId="8" fontId="0" fillId="16" borderId="34" xfId="2" applyNumberFormat="1" applyFont="1" applyFill="1" applyBorder="1" applyAlignment="1">
      <alignment horizontal="right" vertical="center" indent="1"/>
    </xf>
    <xf numFmtId="8" fontId="0" fillId="0" borderId="34" xfId="2" applyNumberFormat="1" applyFont="1" applyFill="1" applyBorder="1" applyAlignment="1">
      <alignment horizontal="right" vertical="center" indent="1"/>
    </xf>
    <xf numFmtId="8" fontId="0" fillId="16" borderId="41" xfId="2" applyNumberFormat="1" applyFont="1" applyFill="1" applyBorder="1" applyAlignment="1">
      <alignment horizontal="right" vertical="center" indent="1"/>
    </xf>
    <xf numFmtId="4" fontId="3" fillId="15" borderId="46" xfId="0" applyNumberFormat="1" applyFont="1" applyFill="1" applyBorder="1" applyAlignment="1">
      <alignment horizontal="center" vertical="center" wrapText="1"/>
    </xf>
    <xf numFmtId="4" fontId="3" fillId="15" borderId="45" xfId="0" applyNumberFormat="1" applyFont="1" applyFill="1" applyBorder="1" applyAlignment="1">
      <alignment horizontal="center" vertical="center" wrapText="1"/>
    </xf>
    <xf numFmtId="0" fontId="13" fillId="6" borderId="43" xfId="0" applyFont="1" applyFill="1" applyBorder="1"/>
    <xf numFmtId="0" fontId="8" fillId="8" borderId="45" xfId="4" applyFont="1" applyFill="1" applyBorder="1" applyAlignment="1">
      <alignment vertical="center" wrapText="1"/>
    </xf>
    <xf numFmtId="0" fontId="8" fillId="8" borderId="46" xfId="4" applyFont="1" applyFill="1" applyBorder="1" applyAlignment="1">
      <alignment horizontal="center" vertical="center" wrapText="1"/>
    </xf>
    <xf numFmtId="0" fontId="3" fillId="6" borderId="48" xfId="0" applyFont="1" applyFill="1" applyBorder="1"/>
    <xf numFmtId="0" fontId="0" fillId="18" borderId="0" xfId="0" applyFill="1" applyAlignment="1">
      <alignment vertical="center"/>
    </xf>
    <xf numFmtId="0" fontId="0" fillId="18" borderId="0" xfId="0" applyFill="1" applyAlignment="1">
      <alignment horizontal="center" vertical="center"/>
    </xf>
    <xf numFmtId="164" fontId="0" fillId="18" borderId="0" xfId="0" applyNumberFormat="1" applyFill="1" applyAlignment="1">
      <alignment horizontal="center" vertical="center"/>
    </xf>
    <xf numFmtId="14" fontId="7" fillId="18" borderId="0" xfId="5" applyNumberFormat="1" applyFont="1" applyFill="1" applyBorder="1" applyAlignment="1" applyProtection="1">
      <alignment horizontal="left" vertical="center"/>
      <protection locked="0"/>
    </xf>
    <xf numFmtId="2" fontId="0" fillId="18" borderId="0" xfId="0" applyNumberFormat="1" applyFill="1" applyAlignment="1">
      <alignment horizontal="center" vertical="center"/>
    </xf>
    <xf numFmtId="0" fontId="0" fillId="18" borderId="0" xfId="0" applyFill="1"/>
    <xf numFmtId="0" fontId="0" fillId="18" borderId="0" xfId="0" applyFill="1" applyAlignment="1">
      <alignment horizontal="center"/>
    </xf>
    <xf numFmtId="0" fontId="3" fillId="6" borderId="47" xfId="0" quotePrefix="1" applyFont="1" applyFill="1" applyBorder="1"/>
    <xf numFmtId="4" fontId="3" fillId="15" borderId="44" xfId="0" applyNumberFormat="1" applyFont="1" applyFill="1" applyBorder="1" applyAlignment="1">
      <alignment horizontal="right"/>
    </xf>
    <xf numFmtId="4" fontId="3" fillId="15" borderId="48" xfId="0" applyNumberFormat="1" applyFont="1" applyFill="1" applyBorder="1" applyAlignment="1">
      <alignment horizontal="right"/>
    </xf>
    <xf numFmtId="165" fontId="12" fillId="14" borderId="1" xfId="0" applyNumberFormat="1" applyFont="1" applyFill="1" applyBorder="1" applyAlignment="1">
      <alignment horizontal="right" vertical="center" indent="1"/>
    </xf>
    <xf numFmtId="165" fontId="12" fillId="4" borderId="1" xfId="0" applyNumberFormat="1" applyFont="1" applyFill="1" applyBorder="1" applyAlignment="1">
      <alignment horizontal="right" vertical="center" indent="1"/>
    </xf>
    <xf numFmtId="4" fontId="5" fillId="9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0" fontId="8" fillId="8" borderId="13" xfId="4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8" fillId="8" borderId="38" xfId="4" applyFont="1" applyFill="1" applyBorder="1" applyAlignment="1">
      <alignment horizontal="center" vertical="center" wrapText="1"/>
    </xf>
    <xf numFmtId="0" fontId="8" fillId="8" borderId="34" xfId="4" applyFont="1" applyFill="1" applyBorder="1" applyAlignment="1">
      <alignment horizontal="center" vertical="center" wrapText="1"/>
    </xf>
    <xf numFmtId="0" fontId="7" fillId="7" borderId="1" xfId="6" applyFont="1" applyFill="1" applyBorder="1"/>
    <xf numFmtId="14" fontId="7" fillId="7" borderId="1" xfId="6" applyNumberFormat="1" applyFont="1" applyFill="1" applyBorder="1"/>
    <xf numFmtId="0" fontId="3" fillId="12" borderId="4" xfId="6" applyFont="1" applyFill="1" applyBorder="1"/>
    <xf numFmtId="0" fontId="3" fillId="12" borderId="5" xfId="6" applyFont="1" applyFill="1" applyBorder="1"/>
    <xf numFmtId="0" fontId="3" fillId="12" borderId="6" xfId="6" applyFont="1" applyFill="1" applyBorder="1"/>
    <xf numFmtId="0" fontId="7" fillId="7" borderId="7" xfId="6" applyFont="1" applyFill="1" applyBorder="1"/>
    <xf numFmtId="14" fontId="7" fillId="7" borderId="3" xfId="6" applyNumberFormat="1" applyFont="1" applyFill="1" applyBorder="1"/>
    <xf numFmtId="0" fontId="7" fillId="7" borderId="10" xfId="6" applyFont="1" applyFill="1" applyBorder="1"/>
    <xf numFmtId="0" fontId="7" fillId="7" borderId="8" xfId="6" applyFont="1" applyFill="1" applyBorder="1"/>
    <xf numFmtId="14" fontId="7" fillId="7" borderId="8" xfId="6" applyNumberFormat="1" applyFont="1" applyFill="1" applyBorder="1"/>
    <xf numFmtId="1" fontId="1" fillId="7" borderId="1" xfId="4" applyNumberFormat="1" applyFont="1" applyFill="1" applyBorder="1"/>
    <xf numFmtId="0" fontId="7" fillId="8" borderId="1" xfId="6" applyFont="1" applyFill="1" applyBorder="1"/>
    <xf numFmtId="0" fontId="10" fillId="8" borderId="1" xfId="4" applyFont="1" applyFill="1" applyBorder="1"/>
    <xf numFmtId="44" fontId="7" fillId="7" borderId="1" xfId="8" applyFont="1" applyFill="1" applyBorder="1"/>
    <xf numFmtId="170" fontId="7" fillId="7" borderId="1" xfId="9" applyNumberFormat="1" applyFont="1" applyFill="1" applyBorder="1" applyAlignment="1">
      <alignment horizontal="center"/>
    </xf>
    <xf numFmtId="170" fontId="7" fillId="7" borderId="1" xfId="6" applyNumberFormat="1" applyFont="1" applyFill="1" applyBorder="1" applyAlignment="1">
      <alignment horizontal="center"/>
    </xf>
    <xf numFmtId="0" fontId="7" fillId="7" borderId="1" xfId="6" applyFont="1" applyFill="1" applyBorder="1" applyAlignment="1">
      <alignment horizontal="center"/>
    </xf>
    <xf numFmtId="44" fontId="1" fillId="7" borderId="1" xfId="2" applyFont="1" applyFill="1" applyBorder="1"/>
    <xf numFmtId="10" fontId="7" fillId="7" borderId="1" xfId="6" applyNumberFormat="1" applyFont="1" applyFill="1" applyBorder="1" applyAlignment="1">
      <alignment horizontal="center"/>
    </xf>
  </cellXfs>
  <cellStyles count="11">
    <cellStyle name="Hyperlink 2" xfId="10" xr:uid="{EFFB05C2-16BE-4330-B964-C31E53F3204E}"/>
    <cellStyle name="Invoer 2" xfId="5" xr:uid="{3F56075C-5E08-4094-9ADB-30B851F0C931}"/>
    <cellStyle name="Komma" xfId="1" builtinId="3"/>
    <cellStyle name="Komma 2" xfId="7" xr:uid="{CEA1B2D6-BE79-4966-8368-E4E230E05110}"/>
    <cellStyle name="Procent" xfId="3" builtinId="5"/>
    <cellStyle name="Procent 2" xfId="9" xr:uid="{D27F275E-6E8C-48AF-8E33-4D7803897F31}"/>
    <cellStyle name="Standaard" xfId="0" builtinId="0"/>
    <cellStyle name="Standaard 2" xfId="4" xr:uid="{8A025BFF-ADDF-456C-86F4-A917A0A89B67}"/>
    <cellStyle name="Standaard 3" xfId="6" xr:uid="{8DD934F8-FBDB-441F-938B-5F3E543FFFAD}"/>
    <cellStyle name="Valuta" xfId="2" builtinId="4"/>
    <cellStyle name="Valuta 2" xfId="8" xr:uid="{34A80DC4-AC44-4763-BCD8-7D9F587F8380}"/>
  </cellStyles>
  <dxfs count="56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/m/yyyy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/m/yyyy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76" formatCode="0.00_ ;[Red]\-0.00\ 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3"/>
        <name val="Arial"/>
        <family val="2"/>
        <scheme val="none"/>
      </font>
      <numFmt numFmtId="12" formatCode="&quot;€&quot;\ #,##0.00;[Red]&quot;€&quot;\ \-#,##0.0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6" formatCode="0.00_ ;[Red]\-0.00\ 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2" formatCode="&quot;€&quot;\ #,##0.00;[Red]&quot;€&quot;\ \-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Arial"/>
        <family val="2"/>
        <scheme val="none"/>
      </font>
      <numFmt numFmtId="171" formatCode="&quot;€&quot;\ #,##0.00"/>
      <fill>
        <patternFill patternType="solid">
          <fgColor indexed="64"/>
          <bgColor theme="4" tint="0.5999938962981048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3"/>
        <name val="Arial"/>
        <family val="2"/>
        <scheme val="none"/>
      </font>
      <numFmt numFmtId="171" formatCode="&quot;€&quot;\ 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Arial"/>
        <family val="2"/>
        <scheme val="none"/>
      </font>
      <numFmt numFmtId="171" formatCode="&quot;€&quot;\ 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Arial"/>
        <family val="2"/>
        <scheme val="none"/>
      </font>
      <numFmt numFmtId="171" formatCode="&quot;€&quot;\ 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Arial"/>
        <family val="2"/>
        <scheme val="none"/>
      </font>
      <numFmt numFmtId="171" formatCode="&quot;€&quot;\ 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Arial"/>
        <family val="2"/>
        <scheme val="none"/>
      </font>
      <numFmt numFmtId="171" formatCode="&quot;€&quot;\ 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Arial"/>
        <family val="2"/>
        <scheme val="none"/>
      </font>
      <numFmt numFmtId="171" formatCode="&quot;€&quot;\ #,##0.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Arial"/>
        <family val="2"/>
        <scheme val="none"/>
      </font>
      <numFmt numFmtId="165" formatCode="00"/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Arial"/>
        <family val="2"/>
        <scheme val="none"/>
      </font>
      <numFmt numFmtId="165" formatCode="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Arial"/>
        <family val="2"/>
        <scheme val="none"/>
      </font>
      <numFmt numFmtId="165" formatCode="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3"/>
        <name val="Arial"/>
        <family val="2"/>
        <scheme val="none"/>
      </font>
      <numFmt numFmtId="165" formatCode="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2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right" vertical="bottom" textRotation="0" wrapText="0" indent="1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right" vertical="bottom" textRotation="0" wrapText="0" indent="1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right" vertical="bottom" textRotation="0" wrapText="0" indent="1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right" vertical="bottom" textRotation="0" wrapText="0" indent="1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right" vertical="bottom" textRotation="0" wrapText="0" indent="1" justifyLastLine="0" shrinkToFit="0" readingOrder="0"/>
    </dxf>
    <dxf>
      <fill>
        <patternFill patternType="solid">
          <fgColor indexed="64"/>
          <bgColor theme="7" tint="0.79998168889431442"/>
        </patternFill>
      </fill>
      <alignment horizontal="right" vertical="bottom" textRotation="0" wrapText="0" indent="1" justifyLastLine="0" shrinkToFit="0" readingOrder="0"/>
    </dxf>
    <dxf>
      <numFmt numFmtId="165" formatCode="0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</dxf>
    <dxf>
      <numFmt numFmtId="165" formatCode="0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</dxf>
    <dxf>
      <numFmt numFmtId="165" formatCode="0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</dxf>
    <dxf>
      <numFmt numFmtId="165" formatCode="0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</dxf>
    <dxf>
      <numFmt numFmtId="164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4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4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4" formatCode="dd/mm/yyyy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F6F00"/>
      <color rgb="FF009E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291686</xdr:colOff>
      <xdr:row>1</xdr:row>
      <xdr:rowOff>66675</xdr:rowOff>
    </xdr:from>
    <xdr:to>
      <xdr:col>27</xdr:col>
      <xdr:colOff>949625</xdr:colOff>
      <xdr:row>7</xdr:row>
      <xdr:rowOff>132469</xdr:rowOff>
    </xdr:to>
    <xdr:pic>
      <xdr:nvPicPr>
        <xdr:cNvPr id="2" name="Afbeelding 1" descr="Logo">
          <a:extLst>
            <a:ext uri="{FF2B5EF4-FFF2-40B4-BE49-F238E27FC236}">
              <a16:creationId xmlns:a16="http://schemas.microsoft.com/office/drawing/2014/main" id="{5856DF93-D9C3-4A5F-80C3-35FDAF70E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32886" y="247650"/>
          <a:ext cx="2829639" cy="1164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126583</xdr:colOff>
      <xdr:row>26</xdr:row>
      <xdr:rowOff>17448</xdr:rowOff>
    </xdr:from>
    <xdr:to>
      <xdr:col>0</xdr:col>
      <xdr:colOff>1312981</xdr:colOff>
      <xdr:row>28</xdr:row>
      <xdr:rowOff>130923</xdr:rowOff>
    </xdr:to>
    <xdr:pic>
      <xdr:nvPicPr>
        <xdr:cNvPr id="2" name="Afbeelding 1" descr="Logo">
          <a:extLst>
            <a:ext uri="{FF2B5EF4-FFF2-40B4-BE49-F238E27FC236}">
              <a16:creationId xmlns:a16="http://schemas.microsoft.com/office/drawing/2014/main" id="{0632C2BD-7B8A-43D1-8771-4B5AA028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08" y="5465748"/>
          <a:ext cx="1197828" cy="50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1428749</xdr:colOff>
      <xdr:row>25</xdr:row>
      <xdr:rowOff>107373</xdr:rowOff>
    </xdr:from>
    <xdr:to>
      <xdr:col>1</xdr:col>
      <xdr:colOff>1545091</xdr:colOff>
      <xdr:row>28</xdr:row>
      <xdr:rowOff>155298</xdr:rowOff>
    </xdr:to>
    <xdr:pic>
      <xdr:nvPicPr>
        <xdr:cNvPr id="3" name="Afbeelding 2" descr="Alle voorwaardelijke pensioenen omgezet in gewoon pensioen - FNV">
          <a:extLst>
            <a:ext uri="{FF2B5EF4-FFF2-40B4-BE49-F238E27FC236}">
              <a16:creationId xmlns:a16="http://schemas.microsoft.com/office/drawing/2014/main" id="{6486547B-BF64-4BF0-B84E-3AFC818F20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424" r="6652" b="24575"/>
        <a:stretch>
          <a:fillRect/>
        </a:stretch>
      </xdr:blipFill>
      <xdr:spPr bwMode="auto">
        <a:xfrm>
          <a:off x="1428749" y="5352473"/>
          <a:ext cx="2494417" cy="6511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828E62-E6C4-4A70-BF6E-7F413F33D049}" name="Tabel1" displayName="Tabel1" ref="E1:U14" totalsRowShown="0" headerRowDxfId="55" dataDxfId="53" headerRowBorderDxfId="54" tableBorderDxfId="52" totalsRowBorderDxfId="51">
  <autoFilter ref="E1:U14" xr:uid="{02828E62-E6C4-4A70-BF6E-7F413F33D049}"/>
  <tableColumns count="17">
    <tableColumn id="1" xr3:uid="{84A5D312-95F8-4653-880B-98F35555FA71}" name="Inkomstenperiode" dataDxfId="50">
      <calculatedColumnFormula>IF(E1="december","",IF(Verloningsperiodiciteit="maandelijks",rekenwaarden!F3,_xlfn.CONCAT("Periode ",rekenwaarden!E3)))</calculatedColumnFormula>
    </tableColumn>
    <tableColumn id="2" xr3:uid="{7A57C46C-8D90-47E1-813C-961883E30CF8}" name="DatAanvTv" dataDxfId="49">
      <calculatedColumnFormula>IF(AND($B$4="",AD2=""),"",VLOOKUP($B$4,IF(Verloningsperiodiciteit="Vierwekelijks",rekenwaarden!C3:C55,rekenwaarden!I3:I50),1,TRUE))</calculatedColumnFormula>
    </tableColumn>
    <tableColumn id="3" xr3:uid="{FBF7CCEE-F320-41A3-A629-F40B95ABD503}" name="DatEindTv" dataDxfId="48">
      <calculatedColumnFormula>IF(F2="", "", IF(Verloningsperiodiciteit="Vierwekelijks", _xlfn.XLOOKUP(F2,rekenwaarden!$C$3:$C$54,rekenwaarden!$D$3:$D$54,"niet gevonden",-1), _xlfn.XLOOKUP(F2,rekenwaarden!$I$3:$I$54,rekenwaarden!$J$3:$J$54,"niet gevonden",-1)))</calculatedColumnFormula>
    </tableColumn>
    <tableColumn id="18" xr3:uid="{835995AE-0736-489C-A2C3-1D20790F7954}" name="Leeftijd" dataDxfId="47">
      <calculatedColumnFormula>IF(Tabel1[[#This Row],[Inkomstenperiode]]="","",DATEDIF(Geboortedatum,Tabel1[[#This Row],[DatEindTv]],"Y"))</calculatedColumnFormula>
    </tableColumn>
    <tableColumn id="5" xr3:uid="{6590809F-D69F-430B-8F31-6FE80E4BA8BD}" name="DatAanvIKV" dataDxfId="46">
      <calculatedColumnFormula>IF(Tabel1[[#This Row],[Inkomstenperiode]]="","",IF(Datum_Aanvang_IKV="","",Datum_Aanvang_IKV))</calculatedColumnFormula>
    </tableColumn>
    <tableColumn id="6" xr3:uid="{E2C43E88-9210-4AFF-A0DE-9F686574FC5B}" name="DatEindIKV" dataDxfId="45">
      <calculatedColumnFormula>IF(Tabel1[[#This Row],[Inkomstenperiode]]="","",IF(Datum_Einde_IKV="","",Datum_Einde_IKV))</calculatedColumnFormula>
    </tableColumn>
    <tableColumn id="7" xr3:uid="{589FA516-D095-46D3-ADC3-F9AB432EA87B}" name="CdRdnEindArbov" dataDxfId="44"/>
    <tableColumn id="8" xr3:uid="{17F936CC-B1EE-4A20-AD4A-897F19DD25CF}" name="SrtIV" dataDxfId="43"/>
    <tableColumn id="9" xr3:uid="{042F8A70-8B05-40E0-B4E1-860DE2C964A3}" name="CdAard" dataDxfId="42"/>
    <tableColumn id="16" xr3:uid="{CF840CB1-DF61-494D-BA17-4009E0F07C20}" name="AantVerlU" dataDxfId="41"/>
    <tableColumn id="10" xr3:uid="{4BD713A0-FFA6-4363-83D9-90729CD1D4D3}" name="LnSV" dataDxfId="40" dataCellStyle="Valuta"/>
    <tableColumn id="11" xr3:uid="{3431E44F-F2F1-4F03-B59E-A4BB4C996E96}" name="VakBsl" dataDxfId="39" dataCellStyle="Valuta"/>
    <tableColumn id="12" xr3:uid="{AC82CBBA-F964-400F-A092-B0E7BDE0B3D6}" name="OpgRchtVakBsl" dataDxfId="38" dataCellStyle="Valuta"/>
    <tableColumn id="13" xr3:uid="{32ACCEA1-1E3C-44B7-84CF-948A6B78867E}" name="OpnAvwb" dataDxfId="37" dataCellStyle="Valuta"/>
    <tableColumn id="14" xr3:uid="{D7C2FF5D-8605-4FEE-B9C2-F06AECDCFDEA}" name="OpbAvwb" dataDxfId="36" dataCellStyle="Valuta"/>
    <tableColumn id="15" xr3:uid="{D7DD43B7-7AB0-4104-9B44-3F1E85A73DA1}" name="LnInGld" dataDxfId="35" dataCellStyle="Valuta"/>
    <tableColumn id="4" xr3:uid="{67FF124C-9F65-4890-AD86-1AEF3F3A3806}" name="&lt;RegLn&gt;" dataDxfId="34" dataCellStyle="Valuta">
      <calculatedColumnFormula>IF(Tabel1[[#This Row],[Inkomstenperiode]]="","",IF(OR(Tabel1[[#This Row],[Leeftijd]]&lt;18,Tabel1[[#This Row],[Leeftijd]]&gt;=68),0,IF(Tabel1[[#This Row],[CdRdnEindArbov]]=33,0,IF(AND(OR(Tabel1[[#This Row],[SrtIV]]=13,Tabel1[[#This Row],[SrtIV]]=15,Tabel1[[#This Row],[SrtIV]]=31),OR(Tabel1[[#This Row],[CdAard]]=1,Tabel1[[#This Row],[CdAard]]=11,Tabel1[[#This Row],[CdAard]]=82,Tabel1[[#This Row],[CdAard]]=83)),Tabel1[[#This Row],[LnInGld]]+Tabel1[[#This Row],[OpgRchtVakBsl]]-Tabel1[[#This Row],[VakBsl]]+Tabel1[[#This Row],[OpbAvwb]]-Tabel1[[#This Row],[OpnAvwb]],0))))</calculatedColumnFormula>
    </tableColumn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2AD5B0B-C9D3-4CE8-B160-565612F54DF7}" name="Tabel135" displayName="Tabel135" ref="E1:Y14" totalsRowShown="0" headerRowDxfId="33" dataDxfId="31" headerRowBorderDxfId="32" tableBorderDxfId="30" totalsRowBorderDxfId="29">
  <autoFilter ref="E1:Y14" xr:uid="{02828E62-E6C4-4A70-BF6E-7F413F33D049}"/>
  <tableColumns count="21">
    <tableColumn id="1" xr3:uid="{58FF452D-CA44-49FA-8334-2823C1D38C0F}" name="Inkomsten-periode" dataDxfId="28">
      <calculatedColumnFormula>IF(OR(Datum_Einde_IKV="",Tabel135[[#This Row],[DatAanvTv]]&lt;Datum_Einde_IKV),IF(E1="december","",IF(Verloningsperiodiciteit="maandelijks",rekenwaarden!F3,_xlfn.CONCAT("Periode ",rekenwaarden!E3))),"")</calculatedColumnFormula>
    </tableColumn>
    <tableColumn id="2" xr3:uid="{317A0382-751E-4596-A37A-187FE825C476}" name="DatAanvTv" dataDxfId="27">
      <calculatedColumnFormula>IF(AND($B$4="",AE2=""),"",VLOOKUP($B$4,IF(Verloningsperiodiciteit="Vierwekelijks",rekenwaarden!C3:C55,rekenwaarden!I3:I50),1,TRUE))</calculatedColumnFormula>
    </tableColumn>
    <tableColumn id="3" xr3:uid="{B57ECC6B-2F60-4699-950C-6DAB619E723B}" name="DatEindTv" dataDxfId="26">
      <calculatedColumnFormula>IF(F2="", "", IF(Verloningsperiodiciteit="Vierwekelijks", _xlfn.XLOOKUP(F2,rekenwaarden!$C$3:$C$54,rekenwaarden!$D$3:$D$54,"niet gevonden",-1), _xlfn.XLOOKUP(F2,rekenwaarden!$I$3:$I$54,rekenwaarden!$J$3:$J$54,"niet gevonden",-1)))</calculatedColumnFormula>
    </tableColumn>
    <tableColumn id="18" xr3:uid="{0C23F217-E24E-4A2F-8310-B5D2D3571A8A}" name="Leeftijd" dataDxfId="25">
      <calculatedColumnFormula>IF(Tabel135[[#This Row],[Inkomsten-periode]]="","",DATEDIF(Geboortedatum,Tabel135[[#This Row],[DatEindTv]],"Y"))</calculatedColumnFormula>
    </tableColumn>
    <tableColumn id="5" xr3:uid="{89B52584-CD3E-44D3-9A2A-28C5E39AE348}" name="DatAanvIKV" dataDxfId="24">
      <calculatedColumnFormula>IF(Tabel135[[#This Row],[Inkomsten-periode]]="","",IF(Datum_Aanvang_IKV="","",Datum_Aanvang_IKV))</calculatedColumnFormula>
    </tableColumn>
    <tableColumn id="6" xr3:uid="{E9763F4E-A408-42BF-8027-511D4151FE15}" name="DatEindIKV" dataDxfId="23">
      <calculatedColumnFormula>IF(Tabel135[[#This Row],[Inkomsten-periode]]="","",IF(Datum_Einde_IKV="","",IF(Datum_Einde_IKV&lt;=Tabel135[[#This Row],[DatEindTv]],Datum_Einde_IKV,"")))</calculatedColumnFormula>
    </tableColumn>
    <tableColumn id="7" xr3:uid="{D3EF37CD-0EE5-4292-A98A-71357C8F3A4B}" name="CdRdnEindArbov" dataDxfId="22"/>
    <tableColumn id="8" xr3:uid="{B67374A4-D6FC-419D-870B-19232FF242E0}" name="SrtIV" dataDxfId="21"/>
    <tableColumn id="9" xr3:uid="{EAD672A8-B001-456F-A87C-526DAE0AFDB7}" name="CdAard" dataDxfId="20"/>
    <tableColumn id="16" xr3:uid="{598A4E21-DCE3-4FAB-9DD8-224D850F4100}" name="AantVerlU" dataDxfId="19"/>
    <tableColumn id="10" xr3:uid="{051CDB76-1FF8-4EE0-A10B-E812C245E519}" name="LnSV" dataDxfId="18" dataCellStyle="Valuta"/>
    <tableColumn id="11" xr3:uid="{1993BA81-0FB5-4216-AB06-31A18AECA240}" name="VakBsl" dataDxfId="17" dataCellStyle="Valuta"/>
    <tableColumn id="12" xr3:uid="{9CA17048-8F95-4D9D-93EA-FC9EB8C35223}" name="OpgRchtVakBsl" dataDxfId="16" dataCellStyle="Valuta">
      <calculatedColumnFormula>0.08*Tabel135[[#This Row],[LnSV]]</calculatedColumnFormula>
    </tableColumn>
    <tableColumn id="13" xr3:uid="{E8974C45-31AB-47B9-B90B-17942D00A16D}" name="OpnAvwb" dataDxfId="15" dataCellStyle="Valuta"/>
    <tableColumn id="14" xr3:uid="{EB76B374-D8D6-45DA-A06D-CAC1D7762E07}" name="OpbAvwb" dataDxfId="14" dataCellStyle="Valuta"/>
    <tableColumn id="15" xr3:uid="{94D53795-4D91-412D-A472-EA2ACE9A7E2D}" name="LnInGld" dataDxfId="13" dataCellStyle="Valuta"/>
    <tableColumn id="21" xr3:uid="{7478D26D-605E-4789-926C-B025664F171A}" name="CdIncInkVerm" dataDxfId="12" dataCellStyle="Valuta"/>
    <tableColumn id="4" xr3:uid="{2454CCF9-B516-46D3-8083-9E74FBBF7E6D}" name="&lt;RegLn&gt;" dataDxfId="11" dataCellStyle="Valuta">
      <calculatedColumnFormula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Row],[OpnAvwb]],0))))</calculatedColumnFormula>
    </tableColumn>
    <tableColumn id="17" xr3:uid="{9E597AFB-C616-445D-BFDD-2939C6529439}" name="RegUren" dataDxfId="10" dataCellStyle="Valuta">
      <calculatedColumnFormula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Row],[AantVerlU]],0))))</calculatedColumnFormula>
    </tableColumn>
    <tableColumn id="19" xr3:uid="{F1858CDD-5942-43AF-A456-0E50781717FB}" name="Loon na einde IKV" dataDxfId="9" dataCellStyle="Valuta">
      <calculatedColumnFormula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Row],[OpnAvwb]],"")),"")</calculatedColumnFormula>
    </tableColumn>
    <tableColumn id="20" xr3:uid="{B2C3CBB3-5F3E-46ED-8513-0BA2F89D1678}" name="Uren na einde IKV" dataDxfId="8" dataCellStyle="Valuta">
      <calculatedColumnFormula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Row],[AantVerlU]],"")),"")</calculatedColumnFormula>
    </tableColumn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B932E0F-85C6-48F1-ACCB-29990AB237E5}" name="Tabel3" displayName="Tabel3" ref="A2:D29" totalsRowShown="0" headerRowDxfId="0" headerRowBorderDxfId="6" tableBorderDxfId="7" totalsRowBorderDxfId="5">
  <autoFilter ref="A2:D29" xr:uid="{FB932E0F-85C6-48F1-ACCB-29990AB237E5}"/>
  <tableColumns count="4">
    <tableColumn id="1" xr3:uid="{B9D200A2-9E4D-495D-A4D7-691CE9CD9A83}" name="Jaar" dataDxfId="4" dataCellStyle="Standaard 3"/>
    <tableColumn id="2" xr3:uid="{D10EB57D-5F55-48F3-BCA6-A48DEF5D4FE1}" name="Periode" dataDxfId="3" dataCellStyle="Standaard 3"/>
    <tableColumn id="3" xr3:uid="{4AA9ACC2-E492-4BDD-B017-EB9440E3E10C}" name="Begin" dataDxfId="2" dataCellStyle="Standaard 3">
      <calculatedColumnFormula>IF(B3=1,DATE(A3,B3,1),C2 + 28 + IF(B3=2, 4 - WEEKDAY(C2,15), 0))</calculatedColumnFormula>
    </tableColumn>
    <tableColumn id="4" xr3:uid="{69D7B19E-342F-4E1E-A744-3696623AF5D6}" name="Eind" dataDxfId="1" dataCellStyle="Standaard 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nv.nl/getmedia/3b41e1ff-3b9c-4847-baaf-14edb76b2954/504-besloten-busvervoer-cao-01-01-2025-tm-31-12-2026-v17062025.pdf?ext=.pdf" TargetMode="External"/><Relationship Id="rId2" Type="http://schemas.openxmlformats.org/officeDocument/2006/relationships/hyperlink" Target="https://www.fnv.nl/getmedia/2c9aa04a-a0c5-4638-9a76-7c677772372b/501-zorgvervoer-en-taxi-cao-01-01-2026-tm-31-12-2027-v29052026.pdf?ext=.pdf" TargetMode="External"/><Relationship Id="rId1" Type="http://schemas.openxmlformats.org/officeDocument/2006/relationships/hyperlink" Target="https://www.flexpedia.nl/kennis/branches/cao-beroepsgoederenvervoer-tln/" TargetMode="External"/><Relationship Id="rId6" Type="http://schemas.openxmlformats.org/officeDocument/2006/relationships/table" Target="../tables/table3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rsima.nl/wp-content/uploads/2025/07/Orsima-Cao-1-maart-2025-30-april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53216-97CC-49C5-8818-7739DCFD3BF4}">
  <dimension ref="A1:AJ31"/>
  <sheetViews>
    <sheetView workbookViewId="0">
      <selection activeCell="G2" sqref="G2"/>
    </sheetView>
  </sheetViews>
  <sheetFormatPr defaultRowHeight="12.5" x14ac:dyDescent="0.25"/>
  <cols>
    <col min="1" max="1" width="34" customWidth="1"/>
    <col min="2" max="2" width="24.1796875" customWidth="1"/>
    <col min="3" max="3" width="2.81640625" customWidth="1"/>
    <col min="4" max="4" width="12.1796875" customWidth="1"/>
    <col min="5" max="5" width="17.1796875" style="1" bestFit="1" customWidth="1"/>
    <col min="6" max="7" width="15.81640625" customWidth="1"/>
    <col min="8" max="8" width="12.81640625" customWidth="1"/>
    <col min="9" max="10" width="15.81640625" customWidth="1"/>
    <col min="11" max="14" width="10.81640625" customWidth="1"/>
    <col min="15" max="33" width="15.81640625" customWidth="1"/>
    <col min="34" max="34" width="19.453125" bestFit="1" customWidth="1"/>
    <col min="35" max="35" width="18.81640625" bestFit="1" customWidth="1"/>
    <col min="36" max="36" width="12.81640625" bestFit="1" customWidth="1"/>
  </cols>
  <sheetData>
    <row r="1" spans="1:36" ht="14.5" x14ac:dyDescent="0.35">
      <c r="A1" s="42" t="s">
        <v>0</v>
      </c>
      <c r="B1" s="48">
        <v>2027</v>
      </c>
      <c r="C1" s="1"/>
      <c r="D1" s="66" t="s">
        <v>1</v>
      </c>
      <c r="E1" s="67" t="s">
        <v>2</v>
      </c>
      <c r="F1" s="67" t="s">
        <v>3</v>
      </c>
      <c r="G1" s="67" t="s">
        <v>4</v>
      </c>
      <c r="H1" s="67" t="s">
        <v>5</v>
      </c>
      <c r="I1" s="67" t="s">
        <v>6</v>
      </c>
      <c r="J1" s="67" t="s">
        <v>7</v>
      </c>
      <c r="K1" s="67" t="s">
        <v>8</v>
      </c>
      <c r="L1" s="67" t="s">
        <v>9</v>
      </c>
      <c r="M1" s="67" t="s">
        <v>10</v>
      </c>
      <c r="N1" s="67" t="s">
        <v>11</v>
      </c>
      <c r="O1" s="68" t="s">
        <v>12</v>
      </c>
      <c r="P1" s="68" t="s">
        <v>13</v>
      </c>
      <c r="Q1" s="68" t="s">
        <v>14</v>
      </c>
      <c r="R1" s="68" t="s">
        <v>15</v>
      </c>
      <c r="S1" s="68" t="s">
        <v>16</v>
      </c>
      <c r="T1" s="68" t="s">
        <v>17</v>
      </c>
      <c r="U1" s="69" t="s">
        <v>18</v>
      </c>
    </row>
    <row r="2" spans="1:36" ht="14.5" x14ac:dyDescent="0.35">
      <c r="A2" s="42" t="s">
        <v>19</v>
      </c>
      <c r="B2" s="48" t="s">
        <v>20</v>
      </c>
      <c r="C2" s="1"/>
      <c r="D2" s="70">
        <f>IF(AND($B$2="Maandelijks", COUNTIF($D$1:D1, 12)&gt;1), "",IF(OR(AND($B$2="Maandelijks", D1=12),AND($B$2="Vierwekelijks", D1=13), A13 = "Periode"), 1, A13+1))</f>
        <v>1</v>
      </c>
      <c r="E2" s="43" t="str">
        <f>IF(E1="december","",IF(Verloningsperiodiciteit="maandelijks",rekenwaarden!F3,_xlfn.CONCAT("Periode ",rekenwaarden!E3)))</f>
        <v>Periode 1</v>
      </c>
      <c r="F2" s="44">
        <f>IF(AND($B$4="",AD2=""),"",VLOOKUP($B$4,IF(Verloningsperiodiciteit="Vierwekelijks",rekenwaarden!C3:C55,rekenwaarden!I3:I50),1,TRUE))</f>
        <v>46388</v>
      </c>
      <c r="G2" s="44">
        <f>IF(F2="", "", IF(Verloningsperiodiciteit="Vierwekelijks", _xlfn.XLOOKUP(F2,rekenwaarden!$C$3:$C$54,rekenwaarden!$D$3:$D$54,"niet gevonden",-1), _xlfn.XLOOKUP(F2,rekenwaarden!$I$3:$I$54,rekenwaarden!$J$3:$J$54,"niet gevonden",-1)))</f>
        <v>46418</v>
      </c>
      <c r="H2" s="45">
        <f>IF(Tabel1[[#This Row],[Inkomstenperiode]]="","",DATEDIF(Geboortedatum,Tabel1[[#This Row],[DatEindTv]],"Y"))</f>
        <v>46</v>
      </c>
      <c r="I2" s="44">
        <f>IF(Tabel1[[#This Row],[Inkomstenperiode]]="","",IF(Datum_Aanvang_IKV="","",Datum_Aanvang_IKV))</f>
        <v>46402</v>
      </c>
      <c r="J2" s="44" t="str">
        <f>IF(Tabel1[[#This Row],[Inkomstenperiode]]="","",IF(Datum_Einde_IKV="","",Datum_Einde_IKV))</f>
        <v/>
      </c>
      <c r="K2" s="46"/>
      <c r="L2" s="46">
        <v>13</v>
      </c>
      <c r="M2" s="46">
        <v>1</v>
      </c>
      <c r="N2" s="46">
        <v>173.33333333333334</v>
      </c>
      <c r="O2" s="47">
        <v>7000</v>
      </c>
      <c r="P2" s="47">
        <v>0</v>
      </c>
      <c r="Q2" s="47">
        <v>0</v>
      </c>
      <c r="R2" s="47">
        <v>0</v>
      </c>
      <c r="S2" s="47">
        <v>0</v>
      </c>
      <c r="T2" s="47">
        <v>7000</v>
      </c>
      <c r="U2" s="71">
        <f>IF(Tabel1[[#This Row],[Inkomstenperiode]]="","",IF(OR(Tabel1[[#This Row],[Leeftijd]]&lt;18,Tabel1[[#This Row],[Leeftijd]]&gt;=68),0,IF(Tabel1[[#This Row],[CdRdnEindArbov]]=33,0,IF(AND(OR(Tabel1[[#This Row],[SrtIV]]=13,Tabel1[[#This Row],[SrtIV]]=15,Tabel1[[#This Row],[SrtIV]]=31),OR(Tabel1[[#This Row],[CdAard]]=1,Tabel1[[#This Row],[CdAard]]=11,Tabel1[[#This Row],[CdAard]]=82,Tabel1[[#This Row],[CdAard]]=83)),Tabel1[[#This Row],[LnInGld]]+Tabel1[[#This Row],[OpgRchtVakBsl]]-Tabel1[[#This Row],[VakBsl]]+Tabel1[[#This Row],[OpbAvwb]]-Tabel1[[#This Row],[OpnAvwb]],0))))</f>
        <v>7000</v>
      </c>
    </row>
    <row r="3" spans="1:36" ht="14.5" x14ac:dyDescent="0.35">
      <c r="A3" s="42" t="s">
        <v>21</v>
      </c>
      <c r="B3" s="23">
        <v>29295</v>
      </c>
      <c r="C3" s="26"/>
      <c r="D3" s="70">
        <f>IF(OR($B$5&gt;G2,$B$5=""),IF(AND($B$2="Maandelijks", COUNTIF($D$1:D2, 12)=1), "",IF(OR(AND($B$2="Maandelijks", D2=12),AND($B$2="Vierwekelijks", D2=13), D2 = "Periode"), 1, D2+1)),"")</f>
        <v>2</v>
      </c>
      <c r="E3" s="43" t="str">
        <f>IF(E2="december","",IF(Verloningsperiodiciteit="maandelijks",rekenwaarden!F4,_xlfn.CONCAT("Periode ",rekenwaarden!E4)))</f>
        <v>Periode 2</v>
      </c>
      <c r="F3" s="44">
        <f t="shared" ref="F3:F14" si="0">IF(OR(G2="",D3="",IF(Datum_Einde_IKV&lt;&gt;"",G2&gt;=Datum_Einde_IKV,"")),"",G2+1)</f>
        <v>46419</v>
      </c>
      <c r="G3" s="44">
        <f>IF(F3="", "", IF(Verloningsperiodiciteit="Vierwekelijks", _xlfn.XLOOKUP(F3,rekenwaarden!$C$3:$C$54,rekenwaarden!$D$3:$D$54,"niet gevonden",-1), _xlfn.XLOOKUP(F3,rekenwaarden!$I$3:$I$54,rekenwaarden!$J$3:$J$54,"niet gevonden",-1)))</f>
        <v>46446</v>
      </c>
      <c r="H3" s="45">
        <f>IF(Tabel1[[#This Row],[Inkomstenperiode]]="","",DATEDIF(Geboortedatum,Tabel1[[#This Row],[DatEindTv]],"Y"))</f>
        <v>46</v>
      </c>
      <c r="I3" s="44">
        <f>IF(Tabel1[[#This Row],[Inkomstenperiode]]="","",IF(Datum_Aanvang_IKV="","",Datum_Aanvang_IKV))</f>
        <v>46402</v>
      </c>
      <c r="J3" s="44" t="str">
        <f>IF(Tabel1[[#This Row],[Inkomstenperiode]]="","",IF(Datum_Einde_IKV="","",Datum_Einde_IKV))</f>
        <v/>
      </c>
      <c r="K3" s="46"/>
      <c r="L3" s="46">
        <v>13</v>
      </c>
      <c r="M3" s="46">
        <v>1</v>
      </c>
      <c r="N3" s="46">
        <v>173.33333333333334</v>
      </c>
      <c r="O3" s="47">
        <v>5000</v>
      </c>
      <c r="P3" s="47">
        <v>0</v>
      </c>
      <c r="Q3" s="47">
        <v>0</v>
      </c>
      <c r="R3" s="47">
        <v>0</v>
      </c>
      <c r="S3" s="47">
        <v>0</v>
      </c>
      <c r="T3" s="47">
        <v>5000</v>
      </c>
      <c r="U3" s="71">
        <f>IF(Tabel1[[#This Row],[Inkomstenperiode]]="","",IF(OR(Tabel1[[#This Row],[Leeftijd]]&lt;18,Tabel1[[#This Row],[Leeftijd]]&gt;=68),0,IF(Tabel1[[#This Row],[CdRdnEindArbov]]=33,0,IF(AND(OR(Tabel1[[#This Row],[SrtIV]]=13,Tabel1[[#This Row],[SrtIV]]=15,Tabel1[[#This Row],[SrtIV]]=31),OR(Tabel1[[#This Row],[CdAard]]=1,Tabel1[[#This Row],[CdAard]]=11,Tabel1[[#This Row],[CdAard]]=82,Tabel1[[#This Row],[CdAard]]=83)),Tabel1[[#This Row],[LnInGld]]+Tabel1[[#This Row],[OpgRchtVakBsl]]-Tabel1[[#This Row],[VakBsl]]+Tabel1[[#This Row],[OpbAvwb]]-Tabel1[[#This Row],[OpnAvwb]],0))))</f>
        <v>5000</v>
      </c>
    </row>
    <row r="4" spans="1:36" ht="14.5" x14ac:dyDescent="0.35">
      <c r="A4" s="42" t="s">
        <v>22</v>
      </c>
      <c r="B4" s="49">
        <v>46402</v>
      </c>
      <c r="C4" s="26"/>
      <c r="D4" s="70">
        <f>IF(OR($B$5&gt;G3,$B$5=""),IF(AND($B$2="Maandelijks", COUNTIF($D$1:D3, 12)=1), "",IF(OR(AND($B$2="Maandelijks", D3=12),AND($B$2="Vierwekelijks", D3=13), D3 = "Periode"), 1, D3+1)),"")</f>
        <v>3</v>
      </c>
      <c r="E4" s="43" t="str">
        <f>IF(E3="december","",IF(Verloningsperiodiciteit="maandelijks",rekenwaarden!F5,_xlfn.CONCAT("Periode ",rekenwaarden!E5)))</f>
        <v>Periode 3</v>
      </c>
      <c r="F4" s="44">
        <f t="shared" si="0"/>
        <v>46447</v>
      </c>
      <c r="G4" s="44">
        <f>IF(F4="", "", IF(Verloningsperiodiciteit="Vierwekelijks", _xlfn.XLOOKUP(F4,rekenwaarden!$C$3:$C$54,rekenwaarden!$D$3:$D$54,"niet gevonden",-1), _xlfn.XLOOKUP(F4,rekenwaarden!$I$3:$I$54,rekenwaarden!$J$3:$J$54,"niet gevonden",-1)))</f>
        <v>46474</v>
      </c>
      <c r="H4" s="45">
        <f>IF(Tabel1[[#This Row],[Inkomstenperiode]]="","",DATEDIF(Geboortedatum,Tabel1[[#This Row],[DatEindTv]],"Y"))</f>
        <v>47</v>
      </c>
      <c r="I4" s="44">
        <f>IF(Tabel1[[#This Row],[Inkomstenperiode]]="","",IF(Datum_Aanvang_IKV="","",Datum_Aanvang_IKV))</f>
        <v>46402</v>
      </c>
      <c r="J4" s="44" t="str">
        <f>IF(Tabel1[[#This Row],[Inkomstenperiode]]="","",IF(Datum_Einde_IKV="","",Datum_Einde_IKV))</f>
        <v/>
      </c>
      <c r="K4" s="46"/>
      <c r="L4" s="46">
        <v>13</v>
      </c>
      <c r="M4" s="46">
        <v>1</v>
      </c>
      <c r="N4" s="46">
        <v>173.33333333333334</v>
      </c>
      <c r="O4" s="47">
        <v>9000</v>
      </c>
      <c r="P4" s="47">
        <v>0</v>
      </c>
      <c r="Q4" s="47">
        <v>0</v>
      </c>
      <c r="R4" s="47">
        <v>0</v>
      </c>
      <c r="S4" s="47">
        <v>0</v>
      </c>
      <c r="T4" s="47">
        <v>9000</v>
      </c>
      <c r="U4" s="71">
        <f>IF(Tabel1[[#This Row],[Inkomstenperiode]]="","",IF(OR(Tabel1[[#This Row],[Leeftijd]]&lt;18,Tabel1[[#This Row],[Leeftijd]]&gt;=68),0,IF(Tabel1[[#This Row],[CdRdnEindArbov]]=33,0,IF(AND(OR(Tabel1[[#This Row],[SrtIV]]=13,Tabel1[[#This Row],[SrtIV]]=15,Tabel1[[#This Row],[SrtIV]]=31),OR(Tabel1[[#This Row],[CdAard]]=1,Tabel1[[#This Row],[CdAard]]=11,Tabel1[[#This Row],[CdAard]]=82,Tabel1[[#This Row],[CdAard]]=83)),Tabel1[[#This Row],[LnInGld]]+Tabel1[[#This Row],[OpgRchtVakBsl]]-Tabel1[[#This Row],[VakBsl]]+Tabel1[[#This Row],[OpbAvwb]]-Tabel1[[#This Row],[OpnAvwb]],0))))</f>
        <v>9000</v>
      </c>
    </row>
    <row r="5" spans="1:36" ht="14.5" x14ac:dyDescent="0.35">
      <c r="A5" s="42" t="s">
        <v>23</v>
      </c>
      <c r="B5" s="23"/>
      <c r="C5" s="26"/>
      <c r="D5" s="70">
        <f>IF(OR($B$5&gt;G4,$B$5=""),IF(AND($B$2="Maandelijks", COUNTIF($D$1:D4, 12)=1), "",IF(OR(AND($B$2="Maandelijks", D4=12),AND($B$2="Vierwekelijks", D4=13), D4 = "Periode"), 1, D4+1)),"")</f>
        <v>4</v>
      </c>
      <c r="E5" s="43" t="str">
        <f>IF(E4="december","",IF(Verloningsperiodiciteit="maandelijks",rekenwaarden!F6,_xlfn.CONCAT("Periode ",rekenwaarden!E6)))</f>
        <v>Periode 4</v>
      </c>
      <c r="F5" s="44">
        <f t="shared" si="0"/>
        <v>46475</v>
      </c>
      <c r="G5" s="44">
        <f>IF(F5="", "", IF(Verloningsperiodiciteit="Vierwekelijks", _xlfn.XLOOKUP(F5,rekenwaarden!$C$3:$C$54,rekenwaarden!$D$3:$D$54,"niet gevonden",-1), _xlfn.XLOOKUP(F5,rekenwaarden!$I$3:$I$54,rekenwaarden!$J$3:$J$54,"niet gevonden",-1)))</f>
        <v>46502</v>
      </c>
      <c r="H5" s="45">
        <f>IF(Tabel1[[#This Row],[Inkomstenperiode]]="","",DATEDIF(Geboortedatum,Tabel1[[#This Row],[DatEindTv]],"Y"))</f>
        <v>47</v>
      </c>
      <c r="I5" s="44">
        <f>IF(Tabel1[[#This Row],[Inkomstenperiode]]="","",IF(Datum_Aanvang_IKV="","",Datum_Aanvang_IKV))</f>
        <v>46402</v>
      </c>
      <c r="J5" s="44" t="str">
        <f>IF(Tabel1[[#This Row],[Inkomstenperiode]]="","",IF(Datum_Einde_IKV="","",Datum_Einde_IKV))</f>
        <v/>
      </c>
      <c r="K5" s="46"/>
      <c r="L5" s="46">
        <v>13</v>
      </c>
      <c r="M5" s="46">
        <v>1</v>
      </c>
      <c r="N5" s="46">
        <v>173.33333333333334</v>
      </c>
      <c r="O5" s="47">
        <v>9000</v>
      </c>
      <c r="P5" s="47">
        <v>0</v>
      </c>
      <c r="Q5" s="47">
        <v>0</v>
      </c>
      <c r="R5" s="47">
        <v>0</v>
      </c>
      <c r="S5" s="47">
        <v>0</v>
      </c>
      <c r="T5" s="47">
        <v>9000</v>
      </c>
      <c r="U5" s="71">
        <f>IF(Tabel1[[#This Row],[Inkomstenperiode]]="","",IF(OR(Tabel1[[#This Row],[Leeftijd]]&lt;18,Tabel1[[#This Row],[Leeftijd]]&gt;=68),0,IF(Tabel1[[#This Row],[CdRdnEindArbov]]=33,0,IF(AND(OR(Tabel1[[#This Row],[SrtIV]]=13,Tabel1[[#This Row],[SrtIV]]=15,Tabel1[[#This Row],[SrtIV]]=31),OR(Tabel1[[#This Row],[CdAard]]=1,Tabel1[[#This Row],[CdAard]]=11,Tabel1[[#This Row],[CdAard]]=82,Tabel1[[#This Row],[CdAard]]=83)),Tabel1[[#This Row],[LnInGld]]+Tabel1[[#This Row],[OpgRchtVakBsl]]-Tabel1[[#This Row],[VakBsl]]+Tabel1[[#This Row],[OpbAvwb]]-Tabel1[[#This Row],[OpnAvwb]],0))))</f>
        <v>9000</v>
      </c>
    </row>
    <row r="6" spans="1:36" ht="14.5" x14ac:dyDescent="0.35">
      <c r="A6" s="42" t="s">
        <v>24</v>
      </c>
      <c r="B6" s="50" t="s">
        <v>25</v>
      </c>
      <c r="C6" s="51"/>
      <c r="D6" s="70">
        <f>IF(OR($B$5&gt;G5,$B$5=""),IF(AND($B$2="Maandelijks", COUNTIF($D$1:D5, 12)=1), "",IF(OR(AND($B$2="Maandelijks", D5=12),AND($B$2="Vierwekelijks", D5=13), D5 = "Periode"), 1, D5+1)),"")</f>
        <v>5</v>
      </c>
      <c r="E6" s="43" t="str">
        <f>IF(E5="december","",IF(Verloningsperiodiciteit="maandelijks",rekenwaarden!F7,_xlfn.CONCAT("Periode ",rekenwaarden!E7)))</f>
        <v>Periode 5</v>
      </c>
      <c r="F6" s="44">
        <f t="shared" si="0"/>
        <v>46503</v>
      </c>
      <c r="G6" s="44">
        <f>IF(F6="", "", IF(Verloningsperiodiciteit="Vierwekelijks", _xlfn.XLOOKUP(F6,rekenwaarden!$C$3:$C$54,rekenwaarden!$D$3:$D$54,"niet gevonden",-1), _xlfn.XLOOKUP(F6,rekenwaarden!$I$3:$I$54,rekenwaarden!$J$3:$J$54,"niet gevonden",-1)))</f>
        <v>46530</v>
      </c>
      <c r="H6" s="45">
        <f>IF(Tabel1[[#This Row],[Inkomstenperiode]]="","",DATEDIF(Geboortedatum,Tabel1[[#This Row],[DatEindTv]],"Y"))</f>
        <v>47</v>
      </c>
      <c r="I6" s="44">
        <f>IF(Tabel1[[#This Row],[Inkomstenperiode]]="","",IF(Datum_Aanvang_IKV="","",Datum_Aanvang_IKV))</f>
        <v>46402</v>
      </c>
      <c r="J6" s="44" t="str">
        <f>IF(Tabel1[[#This Row],[Inkomstenperiode]]="","",IF(Datum_Einde_IKV="","",Datum_Einde_IKV))</f>
        <v/>
      </c>
      <c r="K6" s="46"/>
      <c r="L6" s="46">
        <v>13</v>
      </c>
      <c r="M6" s="46">
        <v>1</v>
      </c>
      <c r="N6" s="46">
        <v>173.33333333333334</v>
      </c>
      <c r="O6" s="47">
        <v>5000</v>
      </c>
      <c r="P6" s="47">
        <v>0</v>
      </c>
      <c r="Q6" s="47">
        <v>0</v>
      </c>
      <c r="R6" s="47">
        <v>0</v>
      </c>
      <c r="S6" s="47">
        <v>0</v>
      </c>
      <c r="T6" s="47">
        <v>5000</v>
      </c>
      <c r="U6" s="71">
        <f>IF(Tabel1[[#This Row],[Inkomstenperiode]]="","",IF(OR(Tabel1[[#This Row],[Leeftijd]]&lt;18,Tabel1[[#This Row],[Leeftijd]]&gt;=68),0,IF(Tabel1[[#This Row],[CdRdnEindArbov]]=33,0,IF(AND(OR(Tabel1[[#This Row],[SrtIV]]=13,Tabel1[[#This Row],[SrtIV]]=15,Tabel1[[#This Row],[SrtIV]]=31),OR(Tabel1[[#This Row],[CdAard]]=1,Tabel1[[#This Row],[CdAard]]=11,Tabel1[[#This Row],[CdAard]]=82,Tabel1[[#This Row],[CdAard]]=83)),Tabel1[[#This Row],[LnInGld]]+Tabel1[[#This Row],[OpgRchtVakBsl]]-Tabel1[[#This Row],[VakBsl]]+Tabel1[[#This Row],[OpbAvwb]]-Tabel1[[#This Row],[OpnAvwb]],0))))</f>
        <v>5000</v>
      </c>
    </row>
    <row r="7" spans="1:36" ht="14.5" x14ac:dyDescent="0.35">
      <c r="A7" s="42" t="s">
        <v>26</v>
      </c>
      <c r="B7" s="24">
        <f>VLOOKUP(B6,rekenwaarden!M8:T12,8)</f>
        <v>40</v>
      </c>
      <c r="C7" s="25"/>
      <c r="D7" s="70">
        <f>IF(OR($B$5&gt;G6,$B$5=""),IF(AND($B$2="Maandelijks", COUNTIF($D$1:D6, 12)=1), "",IF(OR(AND($B$2="Maandelijks", D6=12),AND($B$2="Vierwekelijks", D6=13), D6 = "Periode"), 1, D6+1)),"")</f>
        <v>6</v>
      </c>
      <c r="E7" s="43" t="str">
        <f>IF(E6="december","",IF(Verloningsperiodiciteit="maandelijks",rekenwaarden!F8,_xlfn.CONCAT("Periode ",rekenwaarden!E8)))</f>
        <v>Periode 6</v>
      </c>
      <c r="F7" s="44">
        <f t="shared" si="0"/>
        <v>46531</v>
      </c>
      <c r="G7" s="44">
        <f>IF(F7="", "", IF(Verloningsperiodiciteit="Vierwekelijks", _xlfn.XLOOKUP(F7,rekenwaarden!$C$3:$C$54,rekenwaarden!$D$3:$D$54,"niet gevonden",-1), _xlfn.XLOOKUP(F7,rekenwaarden!$I$3:$I$54,rekenwaarden!$J$3:$J$54,"niet gevonden",-1)))</f>
        <v>46558</v>
      </c>
      <c r="H7" s="45">
        <f>IF(Tabel1[[#This Row],[Inkomstenperiode]]="","",DATEDIF(Geboortedatum,Tabel1[[#This Row],[DatEindTv]],"Y"))</f>
        <v>47</v>
      </c>
      <c r="I7" s="44">
        <f>IF(Tabel1[[#This Row],[Inkomstenperiode]]="","",IF(Datum_Aanvang_IKV="","",Datum_Aanvang_IKV))</f>
        <v>46402</v>
      </c>
      <c r="J7" s="44" t="str">
        <f>IF(Tabel1[[#This Row],[Inkomstenperiode]]="","",IF(Datum_Einde_IKV="","",Datum_Einde_IKV))</f>
        <v/>
      </c>
      <c r="K7" s="46"/>
      <c r="L7" s="46">
        <v>13</v>
      </c>
      <c r="M7" s="46">
        <v>1</v>
      </c>
      <c r="N7" s="46">
        <v>173.33333333333334</v>
      </c>
      <c r="O7" s="47">
        <v>4000</v>
      </c>
      <c r="P7" s="47">
        <v>0</v>
      </c>
      <c r="Q7" s="47">
        <v>0</v>
      </c>
      <c r="R7" s="47">
        <v>0</v>
      </c>
      <c r="S7" s="47">
        <v>0</v>
      </c>
      <c r="T7" s="47">
        <v>4000</v>
      </c>
      <c r="U7" s="71">
        <f>IF(Tabel1[[#This Row],[Inkomstenperiode]]="","",IF(OR(Tabel1[[#This Row],[Leeftijd]]&lt;18,Tabel1[[#This Row],[Leeftijd]]&gt;=68),0,IF(Tabel1[[#This Row],[CdRdnEindArbov]]=33,0,IF(AND(OR(Tabel1[[#This Row],[SrtIV]]=13,Tabel1[[#This Row],[SrtIV]]=15,Tabel1[[#This Row],[SrtIV]]=31),OR(Tabel1[[#This Row],[CdAard]]=1,Tabel1[[#This Row],[CdAard]]=11,Tabel1[[#This Row],[CdAard]]=82,Tabel1[[#This Row],[CdAard]]=83)),Tabel1[[#This Row],[LnInGld]]+Tabel1[[#This Row],[OpgRchtVakBsl]]-Tabel1[[#This Row],[VakBsl]]+Tabel1[[#This Row],[OpbAvwb]]-Tabel1[[#This Row],[OpnAvwb]],0))))</f>
        <v>4000</v>
      </c>
    </row>
    <row r="8" spans="1:36" ht="14.5" x14ac:dyDescent="0.35">
      <c r="A8" s="42" t="s">
        <v>27</v>
      </c>
      <c r="B8" s="23" t="b">
        <v>1</v>
      </c>
      <c r="C8" s="26"/>
      <c r="D8" s="70">
        <f>IF(OR($B$5&gt;G7,$B$5=""),IF(AND($B$2="Maandelijks", COUNTIF($D$1:D7, 12)=1), "",IF(OR(AND($B$2="Maandelijks", D7=12),AND($B$2="Vierwekelijks", D7=13), D7 = "Periode"), 1, D7+1)),"")</f>
        <v>7</v>
      </c>
      <c r="E8" s="43" t="str">
        <f>IF(E7="december","",IF(Verloningsperiodiciteit="maandelijks",rekenwaarden!F9,_xlfn.CONCAT("Periode ",rekenwaarden!E9)))</f>
        <v>Periode 7</v>
      </c>
      <c r="F8" s="44">
        <f t="shared" si="0"/>
        <v>46559</v>
      </c>
      <c r="G8" s="44">
        <f>IF(F8="", "", IF(Verloningsperiodiciteit="Vierwekelijks", _xlfn.XLOOKUP(F8,rekenwaarden!$C$3:$C$54,rekenwaarden!$D$3:$D$54,"niet gevonden",-1), _xlfn.XLOOKUP(F8,rekenwaarden!$I$3:$I$54,rekenwaarden!$J$3:$J$54,"niet gevonden",-1)))</f>
        <v>46586</v>
      </c>
      <c r="H8" s="45">
        <f>IF(Tabel1[[#This Row],[Inkomstenperiode]]="","",DATEDIF(Geboortedatum,Tabel1[[#This Row],[DatEindTv]],"Y"))</f>
        <v>47</v>
      </c>
      <c r="I8" s="44">
        <f>IF(Tabel1[[#This Row],[Inkomstenperiode]]="","",IF(Datum_Aanvang_IKV="","",Datum_Aanvang_IKV))</f>
        <v>46402</v>
      </c>
      <c r="J8" s="44" t="str">
        <f>IF(Tabel1[[#This Row],[Inkomstenperiode]]="","",IF(Datum_Einde_IKV="","",Datum_Einde_IKV))</f>
        <v/>
      </c>
      <c r="K8" s="46"/>
      <c r="L8" s="46">
        <v>13</v>
      </c>
      <c r="M8" s="46">
        <v>1</v>
      </c>
      <c r="N8" s="46">
        <v>173.33333333333334</v>
      </c>
      <c r="O8" s="47">
        <v>8000</v>
      </c>
      <c r="P8" s="47">
        <v>0</v>
      </c>
      <c r="Q8" s="47">
        <v>0</v>
      </c>
      <c r="R8" s="47">
        <v>0</v>
      </c>
      <c r="S8" s="47">
        <v>0</v>
      </c>
      <c r="T8" s="47">
        <v>8000</v>
      </c>
      <c r="U8" s="71">
        <f>IF(Tabel1[[#This Row],[Inkomstenperiode]]="","",IF(OR(Tabel1[[#This Row],[Leeftijd]]&lt;18,Tabel1[[#This Row],[Leeftijd]]&gt;=68),0,IF(Tabel1[[#This Row],[CdRdnEindArbov]]=33,0,IF(AND(OR(Tabel1[[#This Row],[SrtIV]]=13,Tabel1[[#This Row],[SrtIV]]=15,Tabel1[[#This Row],[SrtIV]]=31),OR(Tabel1[[#This Row],[CdAard]]=1,Tabel1[[#This Row],[CdAard]]=11,Tabel1[[#This Row],[CdAard]]=82,Tabel1[[#This Row],[CdAard]]=83)),Tabel1[[#This Row],[LnInGld]]+Tabel1[[#This Row],[OpgRchtVakBsl]]-Tabel1[[#This Row],[VakBsl]]+Tabel1[[#This Row],[OpbAvwb]]-Tabel1[[#This Row],[OpnAvwb]],0))))</f>
        <v>8000</v>
      </c>
    </row>
    <row r="9" spans="1:36" x14ac:dyDescent="0.25">
      <c r="D9" s="70">
        <f>IF(OR($B$5&gt;G8,$B$5=""),IF(AND($B$2="Maandelijks", COUNTIF($D$1:D8, 12)=1), "",IF(OR(AND($B$2="Maandelijks", D8=12),AND($B$2="Vierwekelijks", D8=13), D8 = "Periode"), 1, D8+1)),"")</f>
        <v>8</v>
      </c>
      <c r="E9" s="43" t="str">
        <f>IF(E8="december","",IF(Verloningsperiodiciteit="maandelijks",rekenwaarden!F10,_xlfn.CONCAT("Periode ",rekenwaarden!E10)))</f>
        <v>Periode 8</v>
      </c>
      <c r="F9" s="44">
        <f t="shared" si="0"/>
        <v>46587</v>
      </c>
      <c r="G9" s="44">
        <f>IF(F9="", "", IF(Verloningsperiodiciteit="Vierwekelijks", _xlfn.XLOOKUP(F9,rekenwaarden!$C$3:$C$54,rekenwaarden!$D$3:$D$54,"niet gevonden",-1), _xlfn.XLOOKUP(F9,rekenwaarden!$I$3:$I$54,rekenwaarden!$J$3:$J$54,"niet gevonden",-1)))</f>
        <v>46614</v>
      </c>
      <c r="H9" s="45">
        <f>IF(Tabel1[[#This Row],[Inkomstenperiode]]="","",DATEDIF(Geboortedatum,Tabel1[[#This Row],[DatEindTv]],"Y"))</f>
        <v>47</v>
      </c>
      <c r="I9" s="44">
        <f>IF(Tabel1[[#This Row],[Inkomstenperiode]]="","",IF(Datum_Aanvang_IKV="","",Datum_Aanvang_IKV))</f>
        <v>46402</v>
      </c>
      <c r="J9" s="44" t="str">
        <f>IF(Tabel1[[#This Row],[Inkomstenperiode]]="","",IF(Datum_Einde_IKV="","",Datum_Einde_IKV))</f>
        <v/>
      </c>
      <c r="K9" s="46"/>
      <c r="L9" s="46">
        <v>13</v>
      </c>
      <c r="M9" s="46">
        <v>1</v>
      </c>
      <c r="N9" s="46">
        <v>173.33333333333334</v>
      </c>
      <c r="O9" s="47">
        <v>7000</v>
      </c>
      <c r="P9" s="47">
        <v>0</v>
      </c>
      <c r="Q9" s="47">
        <v>0</v>
      </c>
      <c r="R9" s="47">
        <v>0</v>
      </c>
      <c r="S9" s="47">
        <v>0</v>
      </c>
      <c r="T9" s="47">
        <v>7000</v>
      </c>
      <c r="U9" s="71">
        <f>IF(Tabel1[[#This Row],[Inkomstenperiode]]="","",IF(OR(Tabel1[[#This Row],[Leeftijd]]&lt;18,Tabel1[[#This Row],[Leeftijd]]&gt;=68),0,IF(Tabel1[[#This Row],[CdRdnEindArbov]]=33,0,IF(AND(OR(Tabel1[[#This Row],[SrtIV]]=13,Tabel1[[#This Row],[SrtIV]]=15,Tabel1[[#This Row],[SrtIV]]=31),OR(Tabel1[[#This Row],[CdAard]]=1,Tabel1[[#This Row],[CdAard]]=11,Tabel1[[#This Row],[CdAard]]=82,Tabel1[[#This Row],[CdAard]]=83)),Tabel1[[#This Row],[LnInGld]]+Tabel1[[#This Row],[OpgRchtVakBsl]]-Tabel1[[#This Row],[VakBsl]]+Tabel1[[#This Row],[OpbAvwb]]-Tabel1[[#This Row],[OpnAvwb]],0))))</f>
        <v>7000</v>
      </c>
    </row>
    <row r="10" spans="1:36" x14ac:dyDescent="0.25">
      <c r="D10" s="70">
        <f>IF(OR($B$5&gt;G9,$B$5=""),IF(AND($B$2="Maandelijks", COUNTIF($D$1:D9, 12)=1), "",IF(OR(AND($B$2="Maandelijks", D9=12),AND($B$2="Vierwekelijks", D9=13), D9 = "Periode"), 1, D9+1)),"")</f>
        <v>9</v>
      </c>
      <c r="E10" s="43" t="str">
        <f>IF(E9="december","",IF(Verloningsperiodiciteit="maandelijks",rekenwaarden!F11,_xlfn.CONCAT("Periode ",rekenwaarden!E11)))</f>
        <v>Periode 9</v>
      </c>
      <c r="F10" s="44">
        <f t="shared" si="0"/>
        <v>46615</v>
      </c>
      <c r="G10" s="44">
        <f>IF(F10="", "", IF(Verloningsperiodiciteit="Vierwekelijks", _xlfn.XLOOKUP(F10,rekenwaarden!$C$3:$C$54,rekenwaarden!$D$3:$D$54,"niet gevonden",-1), _xlfn.XLOOKUP(F10,rekenwaarden!$I$3:$I$54,rekenwaarden!$J$3:$J$54,"niet gevonden",-1)))</f>
        <v>46642</v>
      </c>
      <c r="H10" s="45">
        <f>IF(Tabel1[[#This Row],[Inkomstenperiode]]="","",DATEDIF(Geboortedatum,Tabel1[[#This Row],[DatEindTv]],"Y"))</f>
        <v>47</v>
      </c>
      <c r="I10" s="44">
        <f>IF(Tabel1[[#This Row],[Inkomstenperiode]]="","",IF(Datum_Aanvang_IKV="","",Datum_Aanvang_IKV))</f>
        <v>46402</v>
      </c>
      <c r="J10" s="44" t="str">
        <f>IF(Tabel1[[#This Row],[Inkomstenperiode]]="","",IF(Datum_Einde_IKV="","",Datum_Einde_IKV))</f>
        <v/>
      </c>
      <c r="K10" s="46"/>
      <c r="L10" s="46">
        <v>13</v>
      </c>
      <c r="M10" s="46">
        <v>1</v>
      </c>
      <c r="N10" s="46">
        <v>173.33333333333334</v>
      </c>
      <c r="O10" s="47">
        <v>12000</v>
      </c>
      <c r="P10" s="47">
        <v>0</v>
      </c>
      <c r="Q10" s="47">
        <v>0</v>
      </c>
      <c r="R10" s="47">
        <v>0</v>
      </c>
      <c r="S10" s="47">
        <v>0</v>
      </c>
      <c r="T10" s="47">
        <v>12000</v>
      </c>
      <c r="U10" s="71">
        <f>IF(Tabel1[[#This Row],[Inkomstenperiode]]="","",IF(OR(Tabel1[[#This Row],[Leeftijd]]&lt;18,Tabel1[[#This Row],[Leeftijd]]&gt;=68),0,IF(Tabel1[[#This Row],[CdRdnEindArbov]]=33,0,IF(AND(OR(Tabel1[[#This Row],[SrtIV]]=13,Tabel1[[#This Row],[SrtIV]]=15,Tabel1[[#This Row],[SrtIV]]=31),OR(Tabel1[[#This Row],[CdAard]]=1,Tabel1[[#This Row],[CdAard]]=11,Tabel1[[#This Row],[CdAard]]=82,Tabel1[[#This Row],[CdAard]]=83)),Tabel1[[#This Row],[LnInGld]]+Tabel1[[#This Row],[OpgRchtVakBsl]]-Tabel1[[#This Row],[VakBsl]]+Tabel1[[#This Row],[OpbAvwb]]-Tabel1[[#This Row],[OpnAvwb]],0))))</f>
        <v>12000</v>
      </c>
    </row>
    <row r="11" spans="1:36" x14ac:dyDescent="0.25">
      <c r="D11" s="70">
        <f>IF(OR($B$5&gt;G10,$B$5=""),IF(AND($B$2="Maandelijks", COUNTIF($D$1:D10, 12)=1), "",IF(OR(AND($B$2="Maandelijks", D10=12),AND($B$2="Vierwekelijks", D10=13), D10 = "Periode"), 1, D10+1)),"")</f>
        <v>10</v>
      </c>
      <c r="E11" s="43" t="str">
        <f>IF(E10="december","",IF(Verloningsperiodiciteit="maandelijks",rekenwaarden!F12,_xlfn.CONCAT("Periode ",rekenwaarden!E12)))</f>
        <v>Periode 10</v>
      </c>
      <c r="F11" s="44">
        <f t="shared" si="0"/>
        <v>46643</v>
      </c>
      <c r="G11" s="44">
        <f>IF(F11="", "", IF(Verloningsperiodiciteit="Vierwekelijks", _xlfn.XLOOKUP(F11,rekenwaarden!$C$3:$C$54,rekenwaarden!$D$3:$D$54,"niet gevonden",-1), _xlfn.XLOOKUP(F11,rekenwaarden!$I$3:$I$54,rekenwaarden!$J$3:$J$54,"niet gevonden",-1)))</f>
        <v>46670</v>
      </c>
      <c r="H11" s="45">
        <f>IF(Tabel1[[#This Row],[Inkomstenperiode]]="","",DATEDIF(Geboortedatum,Tabel1[[#This Row],[DatEindTv]],"Y"))</f>
        <v>47</v>
      </c>
      <c r="I11" s="44">
        <f>IF(Tabel1[[#This Row],[Inkomstenperiode]]="","",IF(Datum_Aanvang_IKV="","",Datum_Aanvang_IKV))</f>
        <v>46402</v>
      </c>
      <c r="J11" s="44" t="str">
        <f>IF(Tabel1[[#This Row],[Inkomstenperiode]]="","",IF(Datum_Einde_IKV="","",Datum_Einde_IKV))</f>
        <v/>
      </c>
      <c r="K11" s="46"/>
      <c r="L11" s="46">
        <v>13</v>
      </c>
      <c r="M11" s="46">
        <v>1</v>
      </c>
      <c r="N11" s="46">
        <v>173.33333333333334</v>
      </c>
      <c r="O11" s="47">
        <v>9000</v>
      </c>
      <c r="P11" s="47">
        <v>0</v>
      </c>
      <c r="Q11" s="47">
        <v>0</v>
      </c>
      <c r="R11" s="47">
        <v>0</v>
      </c>
      <c r="S11" s="47">
        <v>0</v>
      </c>
      <c r="T11" s="47">
        <v>9000</v>
      </c>
      <c r="U11" s="71">
        <f>IF(Tabel1[[#This Row],[Inkomstenperiode]]="","",IF(OR(Tabel1[[#This Row],[Leeftijd]]&lt;18,Tabel1[[#This Row],[Leeftijd]]&gt;=68),0,IF(Tabel1[[#This Row],[CdRdnEindArbov]]=33,0,IF(AND(OR(Tabel1[[#This Row],[SrtIV]]=13,Tabel1[[#This Row],[SrtIV]]=15,Tabel1[[#This Row],[SrtIV]]=31),OR(Tabel1[[#This Row],[CdAard]]=1,Tabel1[[#This Row],[CdAard]]=11,Tabel1[[#This Row],[CdAard]]=82,Tabel1[[#This Row],[CdAard]]=83)),Tabel1[[#This Row],[LnInGld]]+Tabel1[[#This Row],[OpgRchtVakBsl]]-Tabel1[[#This Row],[VakBsl]]+Tabel1[[#This Row],[OpbAvwb]]-Tabel1[[#This Row],[OpnAvwb]],0))))</f>
        <v>9000</v>
      </c>
    </row>
    <row r="12" spans="1:36" x14ac:dyDescent="0.25">
      <c r="D12" s="70">
        <f>IF(OR($B$5&gt;G11,$B$5=""),IF(AND($B$2="Maandelijks", COUNTIF($D$1:D11, 12)=1), "",IF(OR(AND($B$2="Maandelijks", D11=12),AND($B$2="Vierwekelijks", D11=13), D11 = "Periode"), 1, D11+1)),"")</f>
        <v>11</v>
      </c>
      <c r="E12" s="43" t="str">
        <f>IF(E11="december","",IF(Verloningsperiodiciteit="maandelijks",rekenwaarden!F13,_xlfn.CONCAT("Periode ",rekenwaarden!E13)))</f>
        <v>Periode 11</v>
      </c>
      <c r="F12" s="44">
        <f t="shared" si="0"/>
        <v>46671</v>
      </c>
      <c r="G12" s="44">
        <f>IF(F12="", "", IF(Verloningsperiodiciteit="Vierwekelijks", _xlfn.XLOOKUP(F12,rekenwaarden!$C$3:$C$54,rekenwaarden!$D$3:$D$54,"niet gevonden",-1), _xlfn.XLOOKUP(F12,rekenwaarden!$I$3:$I$54,rekenwaarden!$J$3:$J$54,"niet gevonden",-1)))</f>
        <v>46698</v>
      </c>
      <c r="H12" s="45">
        <f>IF(Tabel1[[#This Row],[Inkomstenperiode]]="","",DATEDIF(Geboortedatum,Tabel1[[#This Row],[DatEindTv]],"Y"))</f>
        <v>47</v>
      </c>
      <c r="I12" s="44">
        <f>IF(Tabel1[[#This Row],[Inkomstenperiode]]="","",IF(Datum_Aanvang_IKV="","",Datum_Aanvang_IKV))</f>
        <v>46402</v>
      </c>
      <c r="J12" s="44" t="str">
        <f>IF(Tabel1[[#This Row],[Inkomstenperiode]]="","",IF(Datum_Einde_IKV="","",Datum_Einde_IKV))</f>
        <v/>
      </c>
      <c r="K12" s="46"/>
      <c r="L12" s="46">
        <v>13</v>
      </c>
      <c r="M12" s="46">
        <v>1</v>
      </c>
      <c r="N12" s="46">
        <v>173.33333333333334</v>
      </c>
      <c r="O12" s="47">
        <v>9500</v>
      </c>
      <c r="P12" s="47">
        <v>0</v>
      </c>
      <c r="Q12" s="47">
        <v>0</v>
      </c>
      <c r="R12" s="47">
        <v>0</v>
      </c>
      <c r="S12" s="47">
        <v>0</v>
      </c>
      <c r="T12" s="47">
        <v>9500</v>
      </c>
      <c r="U12" s="71">
        <f>IF(Tabel1[[#This Row],[Inkomstenperiode]]="","",IF(OR(Tabel1[[#This Row],[Leeftijd]]&lt;18,Tabel1[[#This Row],[Leeftijd]]&gt;=68),0,IF(Tabel1[[#This Row],[CdRdnEindArbov]]=33,0,IF(AND(OR(Tabel1[[#This Row],[SrtIV]]=13,Tabel1[[#This Row],[SrtIV]]=15,Tabel1[[#This Row],[SrtIV]]=31),OR(Tabel1[[#This Row],[CdAard]]=1,Tabel1[[#This Row],[CdAard]]=11,Tabel1[[#This Row],[CdAard]]=82,Tabel1[[#This Row],[CdAard]]=83)),Tabel1[[#This Row],[LnInGld]]+Tabel1[[#This Row],[OpgRchtVakBsl]]-Tabel1[[#This Row],[VakBsl]]+Tabel1[[#This Row],[OpbAvwb]]-Tabel1[[#This Row],[OpnAvwb]],0))))</f>
        <v>9500</v>
      </c>
    </row>
    <row r="13" spans="1:36" x14ac:dyDescent="0.25">
      <c r="D13" s="70">
        <f>IF(OR($B$5&gt;G12,$B$5=""),IF(AND($B$2="Maandelijks", COUNTIF($D$1:D12, 12)=1), "",IF(OR(AND($B$2="Maandelijks", D12=12),AND($B$2="Vierwekelijks", D12=13), D12 = "Periode"), 1, D12+1)),"")</f>
        <v>12</v>
      </c>
      <c r="E13" s="43" t="str">
        <f>IF(E12="december","",IF(Verloningsperiodiciteit="maandelijks",rekenwaarden!F14,_xlfn.CONCAT("Periode ",rekenwaarden!E14)))</f>
        <v>Periode 12</v>
      </c>
      <c r="F13" s="44">
        <f t="shared" si="0"/>
        <v>46699</v>
      </c>
      <c r="G13" s="44">
        <f>IF(F13="", "", IF(Verloningsperiodiciteit="Vierwekelijks", _xlfn.XLOOKUP(F13,rekenwaarden!$C$3:$C$54,rekenwaarden!$D$3:$D$54,"niet gevonden",-1), _xlfn.XLOOKUP(F13,rekenwaarden!$I$3:$I$54,rekenwaarden!$J$3:$J$54,"niet gevonden",-1)))</f>
        <v>46726</v>
      </c>
      <c r="H13" s="45">
        <f>IF(Tabel1[[#This Row],[Inkomstenperiode]]="","",DATEDIF(Geboortedatum,Tabel1[[#This Row],[DatEindTv]],"Y"))</f>
        <v>47</v>
      </c>
      <c r="I13" s="44">
        <f>IF(Tabel1[[#This Row],[Inkomstenperiode]]="","",IF(Datum_Aanvang_IKV="","",Datum_Aanvang_IKV))</f>
        <v>46402</v>
      </c>
      <c r="J13" s="44" t="str">
        <f>IF(Tabel1[[#This Row],[Inkomstenperiode]]="","",IF(Datum_Einde_IKV="","",Datum_Einde_IKV))</f>
        <v/>
      </c>
      <c r="K13" s="46"/>
      <c r="L13" s="46">
        <v>13</v>
      </c>
      <c r="M13" s="46">
        <v>1</v>
      </c>
      <c r="N13" s="46">
        <v>173.33333333333334</v>
      </c>
      <c r="O13" s="47">
        <v>9700</v>
      </c>
      <c r="P13" s="47">
        <v>0</v>
      </c>
      <c r="Q13" s="47">
        <v>0</v>
      </c>
      <c r="R13" s="47">
        <v>0</v>
      </c>
      <c r="S13" s="47">
        <v>0</v>
      </c>
      <c r="T13" s="47">
        <v>9700</v>
      </c>
      <c r="U13" s="71">
        <f>IF(Tabel1[[#This Row],[Inkomstenperiode]]="","",IF(OR(Tabel1[[#This Row],[Leeftijd]]&lt;18,Tabel1[[#This Row],[Leeftijd]]&gt;=68),0,IF(Tabel1[[#This Row],[CdRdnEindArbov]]=33,0,IF(AND(OR(Tabel1[[#This Row],[SrtIV]]=13,Tabel1[[#This Row],[SrtIV]]=15,Tabel1[[#This Row],[SrtIV]]=31),OR(Tabel1[[#This Row],[CdAard]]=1,Tabel1[[#This Row],[CdAard]]=11,Tabel1[[#This Row],[CdAard]]=82,Tabel1[[#This Row],[CdAard]]=83)),Tabel1[[#This Row],[LnInGld]]+Tabel1[[#This Row],[OpgRchtVakBsl]]-Tabel1[[#This Row],[VakBsl]]+Tabel1[[#This Row],[OpbAvwb]]-Tabel1[[#This Row],[OpnAvwb]],0))))</f>
        <v>9700</v>
      </c>
    </row>
    <row r="14" spans="1:36" ht="13" thickBot="1" x14ac:dyDescent="0.3">
      <c r="D14" s="72">
        <f>IF(OR($B$5&gt;G13,$B$5=""),IF(AND($B$2="Maandelijks", COUNTIF($D$1:D13, 12)=1), "",IF(OR(AND($B$2="Maandelijks", D13=12),AND($B$2="Vierwekelijks", D13=13), D13 = "Periode"), 1, D13+1)),"")</f>
        <v>13</v>
      </c>
      <c r="E14" s="73" t="str">
        <f>IF(E13="december","",IF(Verloningsperiodiciteit="maandelijks",rekenwaarden!F15,_xlfn.CONCAT("Periode ",rekenwaarden!E15)))</f>
        <v>Periode 13</v>
      </c>
      <c r="F14" s="74">
        <f t="shared" si="0"/>
        <v>46727</v>
      </c>
      <c r="G14" s="74">
        <f>IF(F14="", "", IF(Verloningsperiodiciteit="Vierwekelijks", _xlfn.XLOOKUP(F14,rekenwaarden!$C$3:$C$54,rekenwaarden!$D$3:$D$54,"niet gevonden",-1), _xlfn.XLOOKUP(F14,rekenwaarden!$I$3:$I$54,rekenwaarden!$J$3:$J$54,"niet gevonden",-1)))</f>
        <v>46752</v>
      </c>
      <c r="H14" s="75">
        <f>IF(Tabel1[[#This Row],[Inkomstenperiode]]="","",DATEDIF(Geboortedatum,Tabel1[[#This Row],[DatEindTv]],"Y"))</f>
        <v>47</v>
      </c>
      <c r="I14" s="74">
        <f>IF(Tabel1[[#This Row],[Inkomstenperiode]]="","",IF(Datum_Aanvang_IKV="","",Datum_Aanvang_IKV))</f>
        <v>46402</v>
      </c>
      <c r="J14" s="74" t="str">
        <f>IF(Tabel1[[#This Row],[Inkomstenperiode]]="","",IF(Datum_Einde_IKV="","",Datum_Einde_IKV))</f>
        <v/>
      </c>
      <c r="K14" s="76"/>
      <c r="L14" s="76">
        <v>13</v>
      </c>
      <c r="M14" s="76">
        <v>1</v>
      </c>
      <c r="N14" s="76"/>
      <c r="O14" s="77"/>
      <c r="P14" s="77"/>
      <c r="Q14" s="77"/>
      <c r="R14" s="77"/>
      <c r="S14" s="77"/>
      <c r="T14" s="77"/>
      <c r="U14" s="78">
        <f>IF(Tabel1[[#This Row],[Inkomstenperiode]]="","",IF(OR(Tabel1[[#This Row],[Leeftijd]]&lt;18,Tabel1[[#This Row],[Leeftijd]]&gt;=68),0,IF(Tabel1[[#This Row],[CdRdnEindArbov]]=33,0,IF(AND(OR(Tabel1[[#This Row],[SrtIV]]=13,Tabel1[[#This Row],[SrtIV]]=15,Tabel1[[#This Row],[SrtIV]]=31),OR(Tabel1[[#This Row],[CdAard]]=1,Tabel1[[#This Row],[CdAard]]=11,Tabel1[[#This Row],[CdAard]]=82,Tabel1[[#This Row],[CdAard]]=83)),Tabel1[[#This Row],[LnInGld]]+Tabel1[[#This Row],[OpgRchtVakBsl]]-Tabel1[[#This Row],[VakBsl]]+Tabel1[[#This Row],[OpbAvwb]]-Tabel1[[#This Row],[OpnAvwb]],0))))</f>
        <v>0</v>
      </c>
    </row>
    <row r="15" spans="1:36" ht="13" thickBot="1" x14ac:dyDescent="0.3">
      <c r="D15" s="56"/>
      <c r="E15" s="62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</row>
    <row r="16" spans="1:36" ht="15" thickTop="1" x14ac:dyDescent="0.35">
      <c r="C16" s="40"/>
      <c r="E16" s="43"/>
      <c r="F16" s="31"/>
      <c r="G16" s="31"/>
      <c r="H16" s="171" t="s">
        <v>28</v>
      </c>
      <c r="I16" s="172"/>
      <c r="J16" s="31"/>
      <c r="K16" s="31"/>
      <c r="L16" s="31"/>
      <c r="M16" s="31"/>
      <c r="N16" s="43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55" t="s">
        <v>29</v>
      </c>
      <c r="AC16" s="32"/>
      <c r="AD16" s="32" t="s">
        <v>30</v>
      </c>
      <c r="AE16" s="32"/>
      <c r="AF16" s="32" t="s">
        <v>31</v>
      </c>
      <c r="AG16" s="32" t="s">
        <v>32</v>
      </c>
      <c r="AH16" s="32" t="s">
        <v>33</v>
      </c>
      <c r="AI16" s="32" t="s">
        <v>34</v>
      </c>
      <c r="AJ16" s="57" t="s">
        <v>35</v>
      </c>
    </row>
    <row r="17" spans="3:36" ht="26" x14ac:dyDescent="0.25">
      <c r="C17" s="40"/>
      <c r="D17" s="173" t="s">
        <v>1</v>
      </c>
      <c r="E17" s="173"/>
      <c r="F17" s="2" t="s">
        <v>36</v>
      </c>
      <c r="G17" s="2" t="s">
        <v>37</v>
      </c>
      <c r="H17" s="34" t="s">
        <v>38</v>
      </c>
      <c r="I17" s="34" t="s">
        <v>18</v>
      </c>
      <c r="J17" s="3" t="s">
        <v>39</v>
      </c>
      <c r="K17" s="2" t="s">
        <v>40</v>
      </c>
      <c r="L17" s="2" t="s">
        <v>37</v>
      </c>
      <c r="M17" s="4" t="s">
        <v>41</v>
      </c>
      <c r="N17" s="4" t="s">
        <v>42</v>
      </c>
      <c r="O17" s="4" t="s">
        <v>43</v>
      </c>
      <c r="P17" s="27" t="s">
        <v>44</v>
      </c>
      <c r="Q17" s="2" t="s">
        <v>45</v>
      </c>
      <c r="R17" s="2" t="s">
        <v>46</v>
      </c>
      <c r="S17" s="2" t="s">
        <v>47</v>
      </c>
      <c r="T17" s="3" t="s">
        <v>48</v>
      </c>
      <c r="U17" s="2" t="s">
        <v>49</v>
      </c>
      <c r="V17" s="2" t="s">
        <v>50</v>
      </c>
      <c r="W17" s="2" t="s">
        <v>51</v>
      </c>
      <c r="X17" s="2" t="s">
        <v>52</v>
      </c>
      <c r="Y17" s="2" t="s">
        <v>53</v>
      </c>
      <c r="Z17" s="2" t="s">
        <v>54</v>
      </c>
      <c r="AA17" s="2" t="s">
        <v>55</v>
      </c>
      <c r="AB17" s="30" t="s">
        <v>56</v>
      </c>
      <c r="AC17" s="30" t="s">
        <v>57</v>
      </c>
      <c r="AD17" s="30" t="s">
        <v>56</v>
      </c>
      <c r="AE17" s="30" t="s">
        <v>57</v>
      </c>
      <c r="AF17" s="30" t="s">
        <v>58</v>
      </c>
      <c r="AG17" s="30" t="s">
        <v>58</v>
      </c>
      <c r="AH17" s="30" t="s">
        <v>58</v>
      </c>
      <c r="AI17" s="30" t="s">
        <v>58</v>
      </c>
      <c r="AJ17" s="58" t="s">
        <v>58</v>
      </c>
    </row>
    <row r="18" spans="3:36" x14ac:dyDescent="0.25">
      <c r="C18" s="40"/>
      <c r="D18" s="1">
        <f>D2</f>
        <v>1</v>
      </c>
      <c r="E18" s="37" t="str">
        <f>E2</f>
        <v>Periode 1</v>
      </c>
      <c r="F18" s="35">
        <f>F2</f>
        <v>46388</v>
      </c>
      <c r="G18" s="35">
        <f>G2</f>
        <v>46418</v>
      </c>
      <c r="H18" s="33">
        <f>N2</f>
        <v>173.33333333333334</v>
      </c>
      <c r="I18" s="36">
        <f>U2</f>
        <v>7000</v>
      </c>
      <c r="J18" s="5">
        <f t="shared" ref="J18:J30" si="1">IF(E18="","",Normuren_per_week)</f>
        <v>40</v>
      </c>
      <c r="K18" s="35">
        <f t="shared" ref="K18:K30" si="2">IF(OR(MAX($B$4, F18)&gt;G18, MIN(Datum_Einde_IKV, G18)&lt;F18),"", MAX(Datum_Aanvang_IKV, F18))</f>
        <v>46402</v>
      </c>
      <c r="L18" s="35">
        <f t="shared" ref="L18:L30" si="3">IF(OR(MAX(Datum_Aanvang_IKV, F18)&gt;G18, MIN(Datum_Einde_IKV, G18)&lt;F18),"", MIN(Datum_Einde_IKV, G18))</f>
        <v>46418</v>
      </c>
      <c r="M18" s="37">
        <f>IF(K18="","",L18-K18+1)</f>
        <v>17</v>
      </c>
      <c r="N18" s="38">
        <f t="shared" ref="N18:N30" si="4">IF(K18="", "",  M18 / (G18-F18+1))</f>
        <v>0.54838709677419351</v>
      </c>
      <c r="O18" s="39">
        <f t="shared" ref="O18:O30" si="5">IF(K18="","",N18/IF(Verloningsperiodiciteit= "Maandelijk",12,13))</f>
        <v>4.2183622828784115E-2</v>
      </c>
      <c r="P18" s="28">
        <f t="shared" ref="P18:P30" si="6">IF(K18="","",J18*52/IF(Verloningsperiodiciteit="Maandelijks",12,13)*N18)</f>
        <v>87.741935483870961</v>
      </c>
      <c r="Q18" s="29">
        <f t="shared" ref="Q18:Q30" si="7">IF(K18="","",MIN(I18+IF(AND(D18&lt;&gt;1, Q17&lt;&gt;""),Q17,0)))</f>
        <v>7000</v>
      </c>
      <c r="R18" s="7">
        <f t="shared" ref="R18:R30" si="8">IF(K18="","",H18+IF(AND(D18&lt;&gt;1, R17&lt;&gt;""),R17,0))</f>
        <v>173.33333333333334</v>
      </c>
      <c r="S18" s="7">
        <f t="shared" ref="S18:S30" si="9">IF(K18="","",P18+IF(AND(D18&lt;&gt;1, S17&lt;&gt;""),S17,0))</f>
        <v>87.741935483870961</v>
      </c>
      <c r="T18" s="6">
        <f>IF(K18="",0,R18/S18)</f>
        <v>1.9754901960784317</v>
      </c>
      <c r="U18" s="7">
        <f>IF(K18="","",VLOOKUP($B$6,rekenwaarden!M$8:N$12,2))</f>
        <v>8.31</v>
      </c>
      <c r="V18" s="29">
        <f t="shared" ref="V18:V30" si="10">IF(K18="","",U18*H18)</f>
        <v>1440.4</v>
      </c>
      <c r="W18" s="29">
        <f t="shared" ref="W18:W30" si="11">IF(K18="","",V18+IF(AND(D18&lt;&gt;1, W17&lt;&gt;""),W17,0))</f>
        <v>1440.4</v>
      </c>
      <c r="X18" s="29">
        <f>IF(K18="","", VLOOKUP(B$6,rekenwaarden!M$8:T$12,3)*O18)</f>
        <v>3349.7593052109178</v>
      </c>
      <c r="Y18" s="29">
        <f t="shared" ref="Y18:Y30" si="12">IF(K18="","",X18+IF(AND(D18&lt;&gt;1, Y17&lt;&gt;""),Y17,0))</f>
        <v>3349.7593052109178</v>
      </c>
      <c r="Z18" s="29">
        <f>IF(K18="","", VLOOKUP($B$6,rekenwaarden!M$8:T$12,4)*O18)</f>
        <v>5812.9032258064508</v>
      </c>
      <c r="AA18" s="29">
        <f t="shared" ref="AA18:AA30" si="13">IF(K18="","",Z18+IF(AND(D18&lt;&gt;1, AA17&lt;&gt;""),AA17,0))</f>
        <v>5812.9032258064508</v>
      </c>
      <c r="AB18" s="29">
        <f t="shared" ref="AB18:AB30" si="14">IF(K18="", "", MAX(MIN(Q18, Y18*MIN(1, T18))-W18, 0))</f>
        <v>1909.3593052109177</v>
      </c>
      <c r="AC18" s="29">
        <f t="shared" ref="AC18:AC30" si="15">IF(K18="","",AB18-IF(AND(D18&lt;&gt;1, AB17&lt;&gt;""),AB17,0))</f>
        <v>1909.3593052109177</v>
      </c>
      <c r="AD18" s="29">
        <f>IF(OR($B$8="ONWAAR", K18=""), "", MAX(MIN(Q18, AA18*MIN(1, T18))-Y18*MIN(1, T18), 0))</f>
        <v>2463.143920595533</v>
      </c>
      <c r="AE18" s="29">
        <f>IF(OR(K18="", AD18=""),"",AD18-IF(AND(D18&lt;&gt;1, AD17&lt;&gt;""),AD17,0))</f>
        <v>2463.143920595533</v>
      </c>
      <c r="AF18" s="52">
        <f ca="1">IF($K18="", 0, AC18*INDIRECT(CONCATENATE("premiepct", YEAR(F18))))</f>
        <v>567.07971364764251</v>
      </c>
      <c r="AG18" s="52">
        <f ca="1">IF(OR($F$4=FALSE, K18=""), 0, AE18*INDIRECT(CONCATENATE("premiepct", YEAR($F18))))</f>
        <v>731.55374441687331</v>
      </c>
      <c r="AH18" s="52"/>
      <c r="AI18" s="52"/>
      <c r="AJ18" s="59">
        <f ca="1">SUM(AF18:AI18)</f>
        <v>1298.6334580645157</v>
      </c>
    </row>
    <row r="19" spans="3:36" x14ac:dyDescent="0.25">
      <c r="C19" s="40"/>
      <c r="D19" s="1">
        <f t="shared" ref="D19:D30" si="16">D3</f>
        <v>2</v>
      </c>
      <c r="E19" s="37" t="str">
        <f t="shared" ref="E19:G30" si="17">E3</f>
        <v>Periode 2</v>
      </c>
      <c r="F19" s="35">
        <f t="shared" si="17"/>
        <v>46419</v>
      </c>
      <c r="G19" s="35">
        <f t="shared" si="17"/>
        <v>46446</v>
      </c>
      <c r="H19" s="33">
        <f t="shared" ref="H19:H30" si="18">N3</f>
        <v>173.33333333333334</v>
      </c>
      <c r="I19" s="36">
        <f t="shared" ref="I19:I30" si="19">U3</f>
        <v>5000</v>
      </c>
      <c r="J19" s="5">
        <f t="shared" si="1"/>
        <v>40</v>
      </c>
      <c r="K19" s="35">
        <f t="shared" si="2"/>
        <v>46419</v>
      </c>
      <c r="L19" s="35">
        <f t="shared" si="3"/>
        <v>46446</v>
      </c>
      <c r="M19" s="37">
        <f t="shared" ref="M19:M30" si="20">IF(K19="","",L19-K19+1)</f>
        <v>28</v>
      </c>
      <c r="N19" s="38">
        <f t="shared" si="4"/>
        <v>1</v>
      </c>
      <c r="O19" s="39">
        <f t="shared" si="5"/>
        <v>7.6923076923076927E-2</v>
      </c>
      <c r="P19" s="28">
        <f t="shared" si="6"/>
        <v>160</v>
      </c>
      <c r="Q19" s="29">
        <f t="shared" si="7"/>
        <v>12000</v>
      </c>
      <c r="R19" s="7">
        <f t="shared" si="8"/>
        <v>346.66666666666669</v>
      </c>
      <c r="S19" s="7">
        <f t="shared" si="9"/>
        <v>247.74193548387098</v>
      </c>
      <c r="T19" s="8">
        <f t="shared" ref="T19:T30" si="21">IF(K19="","",R19/S19)</f>
        <v>1.3993055555555556</v>
      </c>
      <c r="U19" s="7">
        <f>IF(K19="","",VLOOKUP($B$6,rekenwaarden!M$8:N$12,2))</f>
        <v>8.31</v>
      </c>
      <c r="V19" s="29">
        <f t="shared" si="10"/>
        <v>1440.4</v>
      </c>
      <c r="W19" s="29">
        <f t="shared" si="11"/>
        <v>2880.8</v>
      </c>
      <c r="X19" s="29">
        <f>IF(K19="","", VLOOKUP(B$6,rekenwaarden!M$8:T$12,3)*O19)</f>
        <v>6108.3846153846162</v>
      </c>
      <c r="Y19" s="29">
        <f t="shared" si="12"/>
        <v>9458.1439205955339</v>
      </c>
      <c r="Z19" s="29">
        <f>IF(K19="","", VLOOKUP($B$6,rekenwaarden!M$8:T$12,4)*O19)</f>
        <v>10600</v>
      </c>
      <c r="AA19" s="29">
        <f t="shared" si="13"/>
        <v>16412.903225806451</v>
      </c>
      <c r="AB19" s="29">
        <f t="shared" si="14"/>
        <v>6577.3439205955337</v>
      </c>
      <c r="AC19" s="29">
        <f t="shared" si="15"/>
        <v>4667.9846153846156</v>
      </c>
      <c r="AD19" s="29">
        <f t="shared" ref="AD19:AD30" si="22">IF(OR($B$8="ONWAAR", K19=""), "", MAX(MIN(Q19, AA19*MIN(1, T19))-Y19*MIN(1, T19), 0))</f>
        <v>2541.8560794044661</v>
      </c>
      <c r="AE19" s="29">
        <f t="shared" ref="AE19:AE30" si="23">IF(OR(K19="", AD19=""),"",AD19-IF(AND(D19&lt;&gt;1, AD18&lt;&gt;""),AD18,0))</f>
        <v>78.712158808933054</v>
      </c>
      <c r="AF19" s="52">
        <f t="shared" ref="AF19:AF30" ca="1" si="24">IF($K19="", 0, AC19*INDIRECT(CONCATENATE("premiepct", YEAR(F19))))</f>
        <v>1386.3914307692307</v>
      </c>
      <c r="AG19" s="52">
        <f t="shared" ref="AG19:AG30" ca="1" si="25">IF(OR($F$4=FALSE, K19=""), 0, AE19*INDIRECT(CONCATENATE("premiepct", YEAR($F19))))</f>
        <v>23.377511166253115</v>
      </c>
      <c r="AH19" s="52"/>
      <c r="AI19" s="52"/>
      <c r="AJ19" s="59">
        <f t="shared" ref="AJ19:AJ30" ca="1" si="26">SUM(AF19:AI19)</f>
        <v>1409.7689419354838</v>
      </c>
    </row>
    <row r="20" spans="3:36" x14ac:dyDescent="0.25">
      <c r="C20" s="40"/>
      <c r="D20" s="1">
        <f t="shared" si="16"/>
        <v>3</v>
      </c>
      <c r="E20" s="37" t="str">
        <f t="shared" si="17"/>
        <v>Periode 3</v>
      </c>
      <c r="F20" s="35">
        <f t="shared" si="17"/>
        <v>46447</v>
      </c>
      <c r="G20" s="35">
        <f t="shared" si="17"/>
        <v>46474</v>
      </c>
      <c r="H20" s="33">
        <f t="shared" si="18"/>
        <v>173.33333333333334</v>
      </c>
      <c r="I20" s="36">
        <f t="shared" si="19"/>
        <v>9000</v>
      </c>
      <c r="J20" s="5">
        <f t="shared" si="1"/>
        <v>40</v>
      </c>
      <c r="K20" s="35">
        <f t="shared" si="2"/>
        <v>46447</v>
      </c>
      <c r="L20" s="35">
        <f t="shared" si="3"/>
        <v>46474</v>
      </c>
      <c r="M20" s="37">
        <f t="shared" si="20"/>
        <v>28</v>
      </c>
      <c r="N20" s="38">
        <f t="shared" si="4"/>
        <v>1</v>
      </c>
      <c r="O20" s="39">
        <f t="shared" si="5"/>
        <v>7.6923076923076927E-2</v>
      </c>
      <c r="P20" s="28">
        <f t="shared" si="6"/>
        <v>160</v>
      </c>
      <c r="Q20" s="29">
        <f t="shared" si="7"/>
        <v>21000</v>
      </c>
      <c r="R20" s="7">
        <f t="shared" si="8"/>
        <v>520</v>
      </c>
      <c r="S20" s="7">
        <f t="shared" si="9"/>
        <v>407.74193548387098</v>
      </c>
      <c r="T20" s="8">
        <f t="shared" si="21"/>
        <v>1.2753164556962024</v>
      </c>
      <c r="U20" s="7">
        <f>IF(K20="","",VLOOKUP($B$6,rekenwaarden!M$8:N$12,2))</f>
        <v>8.31</v>
      </c>
      <c r="V20" s="29">
        <f t="shared" si="10"/>
        <v>1440.4</v>
      </c>
      <c r="W20" s="29">
        <f t="shared" si="11"/>
        <v>4321.2000000000007</v>
      </c>
      <c r="X20" s="29">
        <f>IF(K20="","", VLOOKUP(B$6,rekenwaarden!M$8:T$12,3)*O20)</f>
        <v>6108.3846153846162</v>
      </c>
      <c r="Y20" s="29">
        <f t="shared" si="12"/>
        <v>15566.528535980149</v>
      </c>
      <c r="Z20" s="29">
        <f>IF(K20="","", VLOOKUP($B$6,rekenwaarden!M$8:T$12,4)*O20)</f>
        <v>10600</v>
      </c>
      <c r="AA20" s="29">
        <f t="shared" si="13"/>
        <v>27012.903225806451</v>
      </c>
      <c r="AB20" s="29">
        <f t="shared" si="14"/>
        <v>11245.328535980148</v>
      </c>
      <c r="AC20" s="29">
        <f t="shared" si="15"/>
        <v>4667.9846153846147</v>
      </c>
      <c r="AD20" s="29">
        <f t="shared" si="22"/>
        <v>5433.4714640198508</v>
      </c>
      <c r="AE20" s="29">
        <f t="shared" si="23"/>
        <v>2891.6153846153848</v>
      </c>
      <c r="AF20" s="52">
        <f t="shared" ca="1" si="24"/>
        <v>1386.3914307692305</v>
      </c>
      <c r="AG20" s="52">
        <f t="shared" ca="1" si="25"/>
        <v>858.80976923076923</v>
      </c>
      <c r="AH20" s="52"/>
      <c r="AI20" s="52"/>
      <c r="AJ20" s="59">
        <f t="shared" ca="1" si="26"/>
        <v>2245.2011999999995</v>
      </c>
    </row>
    <row r="21" spans="3:36" x14ac:dyDescent="0.25">
      <c r="C21" s="40"/>
      <c r="D21" s="1">
        <f t="shared" si="16"/>
        <v>4</v>
      </c>
      <c r="E21" s="37" t="str">
        <f t="shared" si="17"/>
        <v>Periode 4</v>
      </c>
      <c r="F21" s="35">
        <f t="shared" si="17"/>
        <v>46475</v>
      </c>
      <c r="G21" s="35">
        <f t="shared" si="17"/>
        <v>46502</v>
      </c>
      <c r="H21" s="33">
        <f t="shared" si="18"/>
        <v>173.33333333333334</v>
      </c>
      <c r="I21" s="36">
        <f t="shared" si="19"/>
        <v>9000</v>
      </c>
      <c r="J21" s="5">
        <f t="shared" si="1"/>
        <v>40</v>
      </c>
      <c r="K21" s="35">
        <f t="shared" si="2"/>
        <v>46475</v>
      </c>
      <c r="L21" s="35">
        <f t="shared" si="3"/>
        <v>46502</v>
      </c>
      <c r="M21" s="37">
        <f t="shared" si="20"/>
        <v>28</v>
      </c>
      <c r="N21" s="38">
        <f t="shared" si="4"/>
        <v>1</v>
      </c>
      <c r="O21" s="39">
        <f t="shared" si="5"/>
        <v>7.6923076923076927E-2</v>
      </c>
      <c r="P21" s="28">
        <f t="shared" si="6"/>
        <v>160</v>
      </c>
      <c r="Q21" s="29">
        <f t="shared" si="7"/>
        <v>30000</v>
      </c>
      <c r="R21" s="7">
        <f t="shared" si="8"/>
        <v>693.33333333333337</v>
      </c>
      <c r="S21" s="7">
        <f t="shared" si="9"/>
        <v>567.74193548387098</v>
      </c>
      <c r="T21" s="8">
        <f t="shared" si="21"/>
        <v>1.2212121212121212</v>
      </c>
      <c r="U21" s="7">
        <f>IF(K21="","",VLOOKUP($B$6,rekenwaarden!M$8:N$12,2))</f>
        <v>8.31</v>
      </c>
      <c r="V21" s="29">
        <f t="shared" si="10"/>
        <v>1440.4</v>
      </c>
      <c r="W21" s="29">
        <f t="shared" si="11"/>
        <v>5761.6</v>
      </c>
      <c r="X21" s="29">
        <f>IF(K21="","", VLOOKUP(B$6,rekenwaarden!M$8:T$12,3)*O21)</f>
        <v>6108.3846153846162</v>
      </c>
      <c r="Y21" s="29">
        <f t="shared" si="12"/>
        <v>21674.913151364766</v>
      </c>
      <c r="Z21" s="29">
        <f>IF(K21="","", VLOOKUP($B$6,rekenwaarden!M$8:T$12,4)*O21)</f>
        <v>10600</v>
      </c>
      <c r="AA21" s="29">
        <f t="shared" si="13"/>
        <v>37612.903225806454</v>
      </c>
      <c r="AB21" s="29">
        <f t="shared" si="14"/>
        <v>15913.313151364766</v>
      </c>
      <c r="AC21" s="29">
        <f t="shared" si="15"/>
        <v>4667.9846153846174</v>
      </c>
      <c r="AD21" s="29">
        <f t="shared" si="22"/>
        <v>8325.0868486352338</v>
      </c>
      <c r="AE21" s="29">
        <f t="shared" si="23"/>
        <v>2891.6153846153829</v>
      </c>
      <c r="AF21" s="52">
        <f t="shared" ca="1" si="24"/>
        <v>1386.3914307692314</v>
      </c>
      <c r="AG21" s="52">
        <f t="shared" ca="1" si="25"/>
        <v>858.80976923076867</v>
      </c>
      <c r="AH21" s="52"/>
      <c r="AI21" s="52"/>
      <c r="AJ21" s="59">
        <f t="shared" ca="1" si="26"/>
        <v>2245.2012</v>
      </c>
    </row>
    <row r="22" spans="3:36" x14ac:dyDescent="0.25">
      <c r="C22" s="40"/>
      <c r="D22" s="1">
        <f t="shared" si="16"/>
        <v>5</v>
      </c>
      <c r="E22" s="37" t="str">
        <f t="shared" si="17"/>
        <v>Periode 5</v>
      </c>
      <c r="F22" s="35">
        <f t="shared" si="17"/>
        <v>46503</v>
      </c>
      <c r="G22" s="35">
        <f t="shared" si="17"/>
        <v>46530</v>
      </c>
      <c r="H22" s="33">
        <f t="shared" si="18"/>
        <v>173.33333333333334</v>
      </c>
      <c r="I22" s="36">
        <f t="shared" si="19"/>
        <v>5000</v>
      </c>
      <c r="J22" s="5">
        <f t="shared" si="1"/>
        <v>40</v>
      </c>
      <c r="K22" s="35">
        <f t="shared" si="2"/>
        <v>46503</v>
      </c>
      <c r="L22" s="35">
        <f t="shared" si="3"/>
        <v>46530</v>
      </c>
      <c r="M22" s="37">
        <f t="shared" si="20"/>
        <v>28</v>
      </c>
      <c r="N22" s="38">
        <f t="shared" si="4"/>
        <v>1</v>
      </c>
      <c r="O22" s="39">
        <f t="shared" si="5"/>
        <v>7.6923076923076927E-2</v>
      </c>
      <c r="P22" s="28">
        <f t="shared" si="6"/>
        <v>160</v>
      </c>
      <c r="Q22" s="29">
        <f t="shared" si="7"/>
        <v>35000</v>
      </c>
      <c r="R22" s="7">
        <f t="shared" si="8"/>
        <v>866.66666666666674</v>
      </c>
      <c r="S22" s="7">
        <f t="shared" si="9"/>
        <v>727.74193548387098</v>
      </c>
      <c r="T22" s="8">
        <f t="shared" si="21"/>
        <v>1.1908983451536643</v>
      </c>
      <c r="U22" s="7">
        <f>IF(K22="","",VLOOKUP($B$6,rekenwaarden!M$8:N$12,2))</f>
        <v>8.31</v>
      </c>
      <c r="V22" s="29">
        <f t="shared" si="10"/>
        <v>1440.4</v>
      </c>
      <c r="W22" s="29">
        <f t="shared" si="11"/>
        <v>7202</v>
      </c>
      <c r="X22" s="29">
        <f>IF(K22="","", VLOOKUP(B$6,rekenwaarden!M$8:T$12,3)*O22)</f>
        <v>6108.3846153846162</v>
      </c>
      <c r="Y22" s="29">
        <f t="shared" si="12"/>
        <v>27783.297766749383</v>
      </c>
      <c r="Z22" s="29">
        <f>IF(K22="","", VLOOKUP($B$6,rekenwaarden!M$8:T$12,4)*O22)</f>
        <v>10600</v>
      </c>
      <c r="AA22" s="29">
        <f t="shared" si="13"/>
        <v>48212.903225806454</v>
      </c>
      <c r="AB22" s="29">
        <f t="shared" si="14"/>
        <v>20581.297766749383</v>
      </c>
      <c r="AC22" s="29">
        <f t="shared" si="15"/>
        <v>4667.9846153846174</v>
      </c>
      <c r="AD22" s="29">
        <f t="shared" si="22"/>
        <v>7216.7022332506167</v>
      </c>
      <c r="AE22" s="29">
        <f t="shared" si="23"/>
        <v>-1108.3846153846171</v>
      </c>
      <c r="AF22" s="52">
        <f t="shared" ca="1" si="24"/>
        <v>1386.3914307692314</v>
      </c>
      <c r="AG22" s="52">
        <f t="shared" ca="1" si="25"/>
        <v>-329.19023076923128</v>
      </c>
      <c r="AH22" s="52"/>
      <c r="AI22" s="52"/>
      <c r="AJ22" s="59">
        <f t="shared" ca="1" si="26"/>
        <v>1057.2012000000002</v>
      </c>
    </row>
    <row r="23" spans="3:36" x14ac:dyDescent="0.25">
      <c r="C23" s="40"/>
      <c r="D23" s="1">
        <f t="shared" si="16"/>
        <v>6</v>
      </c>
      <c r="E23" s="37" t="str">
        <f t="shared" si="17"/>
        <v>Periode 6</v>
      </c>
      <c r="F23" s="35">
        <f t="shared" si="17"/>
        <v>46531</v>
      </c>
      <c r="G23" s="35">
        <f t="shared" si="17"/>
        <v>46558</v>
      </c>
      <c r="H23" s="33">
        <f t="shared" si="18"/>
        <v>173.33333333333334</v>
      </c>
      <c r="I23" s="36">
        <f t="shared" si="19"/>
        <v>4000</v>
      </c>
      <c r="J23" s="5">
        <f t="shared" si="1"/>
        <v>40</v>
      </c>
      <c r="K23" s="35">
        <f t="shared" si="2"/>
        <v>46531</v>
      </c>
      <c r="L23" s="35">
        <f t="shared" si="3"/>
        <v>46558</v>
      </c>
      <c r="M23" s="37">
        <f t="shared" si="20"/>
        <v>28</v>
      </c>
      <c r="N23" s="38">
        <f t="shared" si="4"/>
        <v>1</v>
      </c>
      <c r="O23" s="39">
        <f t="shared" si="5"/>
        <v>7.6923076923076927E-2</v>
      </c>
      <c r="P23" s="28">
        <f t="shared" si="6"/>
        <v>160</v>
      </c>
      <c r="Q23" s="29">
        <f t="shared" si="7"/>
        <v>39000</v>
      </c>
      <c r="R23" s="7">
        <f t="shared" si="8"/>
        <v>1040</v>
      </c>
      <c r="S23" s="7">
        <f t="shared" si="9"/>
        <v>887.74193548387098</v>
      </c>
      <c r="T23" s="8">
        <f t="shared" si="21"/>
        <v>1.1715116279069768</v>
      </c>
      <c r="U23" s="7">
        <f>IF(K23="","",VLOOKUP($B$6,rekenwaarden!M$8:N$12,2))</f>
        <v>8.31</v>
      </c>
      <c r="V23" s="29">
        <f t="shared" si="10"/>
        <v>1440.4</v>
      </c>
      <c r="W23" s="29">
        <f t="shared" si="11"/>
        <v>8642.4</v>
      </c>
      <c r="X23" s="29">
        <f>IF(K23="","", VLOOKUP(B$6,rekenwaarden!M$8:T$12,3)*O23)</f>
        <v>6108.3846153846162</v>
      </c>
      <c r="Y23" s="29">
        <f t="shared" si="12"/>
        <v>33891.682382134</v>
      </c>
      <c r="Z23" s="29">
        <f>IF(K23="","", VLOOKUP($B$6,rekenwaarden!M$8:T$12,4)*O23)</f>
        <v>10600</v>
      </c>
      <c r="AA23" s="29">
        <f t="shared" si="13"/>
        <v>58812.903225806454</v>
      </c>
      <c r="AB23" s="29">
        <f t="shared" si="14"/>
        <v>25249.282382133999</v>
      </c>
      <c r="AC23" s="29">
        <f t="shared" si="15"/>
        <v>4667.9846153846156</v>
      </c>
      <c r="AD23" s="29">
        <f t="shared" si="22"/>
        <v>5108.3176178659996</v>
      </c>
      <c r="AE23" s="29">
        <f t="shared" si="23"/>
        <v>-2108.3846153846171</v>
      </c>
      <c r="AF23" s="52">
        <f t="shared" ca="1" si="24"/>
        <v>1386.3914307692307</v>
      </c>
      <c r="AG23" s="52">
        <f t="shared" ca="1" si="25"/>
        <v>-626.19023076923122</v>
      </c>
      <c r="AH23" s="52"/>
      <c r="AI23" s="52"/>
      <c r="AJ23" s="59">
        <f t="shared" ca="1" si="26"/>
        <v>760.20119999999952</v>
      </c>
    </row>
    <row r="24" spans="3:36" x14ac:dyDescent="0.25">
      <c r="C24" s="40"/>
      <c r="D24" s="1">
        <f t="shared" si="16"/>
        <v>7</v>
      </c>
      <c r="E24" s="37" t="str">
        <f t="shared" si="17"/>
        <v>Periode 7</v>
      </c>
      <c r="F24" s="35">
        <f t="shared" si="17"/>
        <v>46559</v>
      </c>
      <c r="G24" s="35">
        <f t="shared" si="17"/>
        <v>46586</v>
      </c>
      <c r="H24" s="33">
        <f t="shared" si="18"/>
        <v>173.33333333333334</v>
      </c>
      <c r="I24" s="36">
        <f t="shared" si="19"/>
        <v>8000</v>
      </c>
      <c r="J24" s="5">
        <f t="shared" si="1"/>
        <v>40</v>
      </c>
      <c r="K24" s="35">
        <f t="shared" si="2"/>
        <v>46559</v>
      </c>
      <c r="L24" s="35">
        <f t="shared" si="3"/>
        <v>46586</v>
      </c>
      <c r="M24" s="37">
        <f t="shared" si="20"/>
        <v>28</v>
      </c>
      <c r="N24" s="38">
        <f t="shared" si="4"/>
        <v>1</v>
      </c>
      <c r="O24" s="39">
        <f t="shared" si="5"/>
        <v>7.6923076923076927E-2</v>
      </c>
      <c r="P24" s="28">
        <f t="shared" si="6"/>
        <v>160</v>
      </c>
      <c r="Q24" s="29">
        <f t="shared" si="7"/>
        <v>47000</v>
      </c>
      <c r="R24" s="7">
        <f t="shared" si="8"/>
        <v>1213.3333333333333</v>
      </c>
      <c r="S24" s="7">
        <f t="shared" si="9"/>
        <v>1047.741935483871</v>
      </c>
      <c r="T24" s="8">
        <f t="shared" si="21"/>
        <v>1.1580459770114941</v>
      </c>
      <c r="U24" s="7">
        <f>IF(K24="","",VLOOKUP($B$6,rekenwaarden!M$8:N$12,2))</f>
        <v>8.31</v>
      </c>
      <c r="V24" s="29">
        <f t="shared" si="10"/>
        <v>1440.4</v>
      </c>
      <c r="W24" s="29">
        <f t="shared" si="11"/>
        <v>10082.799999999999</v>
      </c>
      <c r="X24" s="29">
        <f>IF(K24="","", VLOOKUP(B$6,rekenwaarden!M$8:T$12,3)*O24)</f>
        <v>6108.3846153846162</v>
      </c>
      <c r="Y24" s="29">
        <f t="shared" si="12"/>
        <v>40000.066997518617</v>
      </c>
      <c r="Z24" s="29">
        <f>IF(K24="","", VLOOKUP($B$6,rekenwaarden!M$8:T$12,4)*O24)</f>
        <v>10600</v>
      </c>
      <c r="AA24" s="29">
        <f t="shared" si="13"/>
        <v>69412.903225806454</v>
      </c>
      <c r="AB24" s="29">
        <f t="shared" si="14"/>
        <v>29917.266997518618</v>
      </c>
      <c r="AC24" s="29">
        <f t="shared" si="15"/>
        <v>4667.9846153846192</v>
      </c>
      <c r="AD24" s="29">
        <f t="shared" si="22"/>
        <v>6999.9330024813826</v>
      </c>
      <c r="AE24" s="29">
        <f t="shared" si="23"/>
        <v>1891.6153846153829</v>
      </c>
      <c r="AF24" s="52">
        <f t="shared" ca="1" si="24"/>
        <v>1386.3914307692319</v>
      </c>
      <c r="AG24" s="52">
        <f t="shared" ca="1" si="25"/>
        <v>561.80976923076867</v>
      </c>
      <c r="AH24" s="52"/>
      <c r="AI24" s="52"/>
      <c r="AJ24" s="59">
        <f t="shared" ca="1" si="26"/>
        <v>1948.2012000000004</v>
      </c>
    </row>
    <row r="25" spans="3:36" x14ac:dyDescent="0.25">
      <c r="C25" s="40"/>
      <c r="D25" s="1">
        <f t="shared" si="16"/>
        <v>8</v>
      </c>
      <c r="E25" s="37" t="str">
        <f t="shared" si="17"/>
        <v>Periode 8</v>
      </c>
      <c r="F25" s="35">
        <f t="shared" si="17"/>
        <v>46587</v>
      </c>
      <c r="G25" s="35">
        <f t="shared" si="17"/>
        <v>46614</v>
      </c>
      <c r="H25" s="33">
        <f t="shared" si="18"/>
        <v>173.33333333333334</v>
      </c>
      <c r="I25" s="36">
        <f t="shared" si="19"/>
        <v>7000</v>
      </c>
      <c r="J25" s="5">
        <f t="shared" si="1"/>
        <v>40</v>
      </c>
      <c r="K25" s="35">
        <f t="shared" si="2"/>
        <v>46587</v>
      </c>
      <c r="L25" s="35">
        <f t="shared" si="3"/>
        <v>46614</v>
      </c>
      <c r="M25" s="37">
        <f t="shared" si="20"/>
        <v>28</v>
      </c>
      <c r="N25" s="38">
        <f t="shared" si="4"/>
        <v>1</v>
      </c>
      <c r="O25" s="39">
        <f t="shared" si="5"/>
        <v>7.6923076923076927E-2</v>
      </c>
      <c r="P25" s="28">
        <f t="shared" si="6"/>
        <v>160</v>
      </c>
      <c r="Q25" s="29">
        <f t="shared" si="7"/>
        <v>54000</v>
      </c>
      <c r="R25" s="7">
        <f t="shared" si="8"/>
        <v>1386.6666666666665</v>
      </c>
      <c r="S25" s="7">
        <f t="shared" si="9"/>
        <v>1207.741935483871</v>
      </c>
      <c r="T25" s="8">
        <f t="shared" si="21"/>
        <v>1.1481481481481479</v>
      </c>
      <c r="U25" s="7">
        <f>IF(K25="","",VLOOKUP($B$6,rekenwaarden!M$8:N$12,2))</f>
        <v>8.31</v>
      </c>
      <c r="V25" s="29">
        <f t="shared" si="10"/>
        <v>1440.4</v>
      </c>
      <c r="W25" s="29">
        <f t="shared" si="11"/>
        <v>11523.199999999999</v>
      </c>
      <c r="X25" s="29">
        <f>IF(K25="","", VLOOKUP(B$6,rekenwaarden!M$8:T$12,3)*O25)</f>
        <v>6108.3846153846162</v>
      </c>
      <c r="Y25" s="29">
        <f t="shared" si="12"/>
        <v>46108.451612903234</v>
      </c>
      <c r="Z25" s="29">
        <f>IF(K25="","", VLOOKUP($B$6,rekenwaarden!M$8:T$12,4)*O25)</f>
        <v>10600</v>
      </c>
      <c r="AA25" s="29">
        <f t="shared" si="13"/>
        <v>80012.903225806454</v>
      </c>
      <c r="AB25" s="29">
        <f t="shared" si="14"/>
        <v>34585.251612903237</v>
      </c>
      <c r="AC25" s="29">
        <f t="shared" si="15"/>
        <v>4667.9846153846192</v>
      </c>
      <c r="AD25" s="29">
        <f t="shared" si="22"/>
        <v>7891.5483870967655</v>
      </c>
      <c r="AE25" s="29">
        <f t="shared" si="23"/>
        <v>891.61538461538294</v>
      </c>
      <c r="AF25" s="52">
        <f t="shared" ca="1" si="24"/>
        <v>1386.3914307692319</v>
      </c>
      <c r="AG25" s="52">
        <f t="shared" ca="1" si="25"/>
        <v>264.80976923076872</v>
      </c>
      <c r="AH25" s="52"/>
      <c r="AI25" s="52"/>
      <c r="AJ25" s="59">
        <f t="shared" ca="1" si="26"/>
        <v>1651.2012000000007</v>
      </c>
    </row>
    <row r="26" spans="3:36" x14ac:dyDescent="0.25">
      <c r="C26" s="40"/>
      <c r="D26" s="1">
        <f t="shared" si="16"/>
        <v>9</v>
      </c>
      <c r="E26" s="37" t="str">
        <f t="shared" si="17"/>
        <v>Periode 9</v>
      </c>
      <c r="F26" s="35">
        <f t="shared" si="17"/>
        <v>46615</v>
      </c>
      <c r="G26" s="35">
        <f t="shared" si="17"/>
        <v>46642</v>
      </c>
      <c r="H26" s="33">
        <f t="shared" si="18"/>
        <v>173.33333333333334</v>
      </c>
      <c r="I26" s="36">
        <f t="shared" si="19"/>
        <v>12000</v>
      </c>
      <c r="J26" s="5">
        <f t="shared" si="1"/>
        <v>40</v>
      </c>
      <c r="K26" s="35">
        <f t="shared" si="2"/>
        <v>46615</v>
      </c>
      <c r="L26" s="35">
        <f t="shared" si="3"/>
        <v>46642</v>
      </c>
      <c r="M26" s="37">
        <f t="shared" si="20"/>
        <v>28</v>
      </c>
      <c r="N26" s="38">
        <f t="shared" si="4"/>
        <v>1</v>
      </c>
      <c r="O26" s="39">
        <f t="shared" si="5"/>
        <v>7.6923076923076927E-2</v>
      </c>
      <c r="P26" s="28">
        <f t="shared" si="6"/>
        <v>160</v>
      </c>
      <c r="Q26" s="29">
        <f t="shared" si="7"/>
        <v>66000</v>
      </c>
      <c r="R26" s="7">
        <f t="shared" si="8"/>
        <v>1559.9999999999998</v>
      </c>
      <c r="S26" s="7">
        <f t="shared" si="9"/>
        <v>1367.741935483871</v>
      </c>
      <c r="T26" s="8">
        <f t="shared" si="21"/>
        <v>1.1405660377358489</v>
      </c>
      <c r="U26" s="7">
        <f>IF(K26="","",VLOOKUP($B$6,rekenwaarden!M$8:N$12,2))</f>
        <v>8.31</v>
      </c>
      <c r="V26" s="29">
        <f t="shared" si="10"/>
        <v>1440.4</v>
      </c>
      <c r="W26" s="29">
        <f t="shared" si="11"/>
        <v>12963.599999999999</v>
      </c>
      <c r="X26" s="29">
        <f>IF(K26="","", VLOOKUP(B$6,rekenwaarden!M$8:T$12,3)*O26)</f>
        <v>6108.3846153846162</v>
      </c>
      <c r="Y26" s="29">
        <f t="shared" si="12"/>
        <v>52216.836228287852</v>
      </c>
      <c r="Z26" s="29">
        <f>IF(K26="","", VLOOKUP($B$6,rekenwaarden!M$8:T$12,4)*O26)</f>
        <v>10600</v>
      </c>
      <c r="AA26" s="29">
        <f t="shared" si="13"/>
        <v>90612.903225806454</v>
      </c>
      <c r="AB26" s="29">
        <f t="shared" si="14"/>
        <v>39253.236228287853</v>
      </c>
      <c r="AC26" s="29">
        <f t="shared" si="15"/>
        <v>4667.9846153846156</v>
      </c>
      <c r="AD26" s="29">
        <f t="shared" si="22"/>
        <v>13783.163771712148</v>
      </c>
      <c r="AE26" s="29">
        <f t="shared" si="23"/>
        <v>5891.6153846153829</v>
      </c>
      <c r="AF26" s="52">
        <f t="shared" ca="1" si="24"/>
        <v>1386.3914307692307</v>
      </c>
      <c r="AG26" s="52">
        <f t="shared" ca="1" si="25"/>
        <v>1749.8097692307686</v>
      </c>
      <c r="AH26" s="52"/>
      <c r="AI26" s="52"/>
      <c r="AJ26" s="59">
        <f t="shared" ca="1" si="26"/>
        <v>3136.2011999999995</v>
      </c>
    </row>
    <row r="27" spans="3:36" x14ac:dyDescent="0.25">
      <c r="C27" s="40"/>
      <c r="D27" s="1">
        <f t="shared" si="16"/>
        <v>10</v>
      </c>
      <c r="E27" s="37" t="str">
        <f t="shared" si="17"/>
        <v>Periode 10</v>
      </c>
      <c r="F27" s="35">
        <f t="shared" si="17"/>
        <v>46643</v>
      </c>
      <c r="G27" s="35">
        <f t="shared" si="17"/>
        <v>46670</v>
      </c>
      <c r="H27" s="33">
        <f t="shared" si="18"/>
        <v>173.33333333333334</v>
      </c>
      <c r="I27" s="36">
        <f t="shared" si="19"/>
        <v>9000</v>
      </c>
      <c r="J27" s="5">
        <f t="shared" si="1"/>
        <v>40</v>
      </c>
      <c r="K27" s="35">
        <f t="shared" si="2"/>
        <v>46643</v>
      </c>
      <c r="L27" s="35">
        <f t="shared" si="3"/>
        <v>46670</v>
      </c>
      <c r="M27" s="37">
        <f t="shared" si="20"/>
        <v>28</v>
      </c>
      <c r="N27" s="38">
        <f t="shared" si="4"/>
        <v>1</v>
      </c>
      <c r="O27" s="39">
        <f t="shared" si="5"/>
        <v>7.6923076923076927E-2</v>
      </c>
      <c r="P27" s="28">
        <f t="shared" si="6"/>
        <v>160</v>
      </c>
      <c r="Q27" s="29">
        <f t="shared" si="7"/>
        <v>75000</v>
      </c>
      <c r="R27" s="7">
        <f t="shared" si="8"/>
        <v>1733.333333333333</v>
      </c>
      <c r="S27" s="7">
        <f t="shared" si="9"/>
        <v>1527.741935483871</v>
      </c>
      <c r="T27" s="8">
        <f t="shared" si="21"/>
        <v>1.1345720720720718</v>
      </c>
      <c r="U27" s="7">
        <f>IF(K27="","",VLOOKUP($B$6,rekenwaarden!M$8:N$12,2))</f>
        <v>8.31</v>
      </c>
      <c r="V27" s="29">
        <f t="shared" si="10"/>
        <v>1440.4</v>
      </c>
      <c r="W27" s="29">
        <f t="shared" si="11"/>
        <v>14403.999999999998</v>
      </c>
      <c r="X27" s="29">
        <f>IF(K27="","", VLOOKUP(B$6,rekenwaarden!M$8:T$12,3)*O27)</f>
        <v>6108.3846153846162</v>
      </c>
      <c r="Y27" s="29">
        <f t="shared" si="12"/>
        <v>58325.220843672469</v>
      </c>
      <c r="Z27" s="29">
        <f>IF(K27="","", VLOOKUP($B$6,rekenwaarden!M$8:T$12,4)*O27)</f>
        <v>10600</v>
      </c>
      <c r="AA27" s="29">
        <f t="shared" si="13"/>
        <v>101212.90322580645</v>
      </c>
      <c r="AB27" s="29">
        <f t="shared" si="14"/>
        <v>43921.220843672469</v>
      </c>
      <c r="AC27" s="29">
        <f t="shared" si="15"/>
        <v>4667.9846153846156</v>
      </c>
      <c r="AD27" s="29">
        <f t="shared" si="22"/>
        <v>16674.779156327531</v>
      </c>
      <c r="AE27" s="29">
        <f t="shared" si="23"/>
        <v>2891.6153846153829</v>
      </c>
      <c r="AF27" s="52">
        <f t="shared" ca="1" si="24"/>
        <v>1386.3914307692307</v>
      </c>
      <c r="AG27" s="52">
        <f t="shared" ca="1" si="25"/>
        <v>858.80976923076867</v>
      </c>
      <c r="AH27" s="52"/>
      <c r="AI27" s="52"/>
      <c r="AJ27" s="59">
        <f t="shared" ca="1" si="26"/>
        <v>2245.2011999999995</v>
      </c>
    </row>
    <row r="28" spans="3:36" x14ac:dyDescent="0.25">
      <c r="C28" s="40"/>
      <c r="D28" s="1">
        <f t="shared" si="16"/>
        <v>11</v>
      </c>
      <c r="E28" s="37" t="str">
        <f t="shared" si="17"/>
        <v>Periode 11</v>
      </c>
      <c r="F28" s="35">
        <f t="shared" si="17"/>
        <v>46671</v>
      </c>
      <c r="G28" s="35">
        <f t="shared" si="17"/>
        <v>46698</v>
      </c>
      <c r="H28" s="33">
        <f t="shared" si="18"/>
        <v>173.33333333333334</v>
      </c>
      <c r="I28" s="36">
        <f t="shared" si="19"/>
        <v>9500</v>
      </c>
      <c r="J28" s="5">
        <f t="shared" si="1"/>
        <v>40</v>
      </c>
      <c r="K28" s="35">
        <f t="shared" si="2"/>
        <v>46671</v>
      </c>
      <c r="L28" s="35">
        <f t="shared" si="3"/>
        <v>46698</v>
      </c>
      <c r="M28" s="37">
        <f t="shared" si="20"/>
        <v>28</v>
      </c>
      <c r="N28" s="38">
        <f t="shared" si="4"/>
        <v>1</v>
      </c>
      <c r="O28" s="39">
        <f t="shared" si="5"/>
        <v>7.6923076923076927E-2</v>
      </c>
      <c r="P28" s="28">
        <f t="shared" si="6"/>
        <v>160</v>
      </c>
      <c r="Q28" s="29">
        <f t="shared" si="7"/>
        <v>84500</v>
      </c>
      <c r="R28" s="7">
        <f t="shared" si="8"/>
        <v>1906.6666666666663</v>
      </c>
      <c r="S28" s="7">
        <f t="shared" si="9"/>
        <v>1687.741935483871</v>
      </c>
      <c r="T28" s="8">
        <f t="shared" si="21"/>
        <v>1.1297145769622832</v>
      </c>
      <c r="U28" s="7">
        <f>IF(K28="","",VLOOKUP($B$6,rekenwaarden!M$8:N$12,2))</f>
        <v>8.31</v>
      </c>
      <c r="V28" s="29">
        <f t="shared" si="10"/>
        <v>1440.4</v>
      </c>
      <c r="W28" s="29">
        <f t="shared" si="11"/>
        <v>15844.399999999998</v>
      </c>
      <c r="X28" s="29">
        <f>IF(K28="","", VLOOKUP(B$6,rekenwaarden!M$8:T$12,3)*O28)</f>
        <v>6108.3846153846162</v>
      </c>
      <c r="Y28" s="29">
        <f t="shared" si="12"/>
        <v>64433.605459057086</v>
      </c>
      <c r="Z28" s="29">
        <f>IF(K28="","", VLOOKUP($B$6,rekenwaarden!M$8:T$12,4)*O28)</f>
        <v>10600</v>
      </c>
      <c r="AA28" s="29">
        <f t="shared" si="13"/>
        <v>111812.90322580645</v>
      </c>
      <c r="AB28" s="29">
        <f t="shared" si="14"/>
        <v>48589.205459057092</v>
      </c>
      <c r="AC28" s="29">
        <f t="shared" si="15"/>
        <v>4667.9846153846229</v>
      </c>
      <c r="AD28" s="29">
        <f t="shared" si="22"/>
        <v>20066.394540942914</v>
      </c>
      <c r="AE28" s="29">
        <f t="shared" si="23"/>
        <v>3391.6153846153829</v>
      </c>
      <c r="AF28" s="52">
        <f t="shared" ca="1" si="24"/>
        <v>1386.391430769233</v>
      </c>
      <c r="AG28" s="52">
        <f t="shared" ca="1" si="25"/>
        <v>1007.3097692307687</v>
      </c>
      <c r="AH28" s="52"/>
      <c r="AI28" s="52"/>
      <c r="AJ28" s="59">
        <f t="shared" ca="1" si="26"/>
        <v>2393.7012000000018</v>
      </c>
    </row>
    <row r="29" spans="3:36" x14ac:dyDescent="0.25">
      <c r="C29" s="40"/>
      <c r="D29" s="1">
        <f t="shared" si="16"/>
        <v>12</v>
      </c>
      <c r="E29" s="37" t="str">
        <f t="shared" si="17"/>
        <v>Periode 12</v>
      </c>
      <c r="F29" s="35">
        <f t="shared" si="17"/>
        <v>46699</v>
      </c>
      <c r="G29" s="35">
        <f t="shared" si="17"/>
        <v>46726</v>
      </c>
      <c r="H29" s="33">
        <f t="shared" si="18"/>
        <v>173.33333333333334</v>
      </c>
      <c r="I29" s="36">
        <f t="shared" si="19"/>
        <v>9700</v>
      </c>
      <c r="J29" s="5">
        <f t="shared" si="1"/>
        <v>40</v>
      </c>
      <c r="K29" s="35">
        <f t="shared" si="2"/>
        <v>46699</v>
      </c>
      <c r="L29" s="35">
        <f t="shared" si="3"/>
        <v>46726</v>
      </c>
      <c r="M29" s="37">
        <f t="shared" si="20"/>
        <v>28</v>
      </c>
      <c r="N29" s="38">
        <f t="shared" si="4"/>
        <v>1</v>
      </c>
      <c r="O29" s="39">
        <f t="shared" si="5"/>
        <v>7.6923076923076927E-2</v>
      </c>
      <c r="P29" s="28">
        <f t="shared" si="6"/>
        <v>160</v>
      </c>
      <c r="Q29" s="29">
        <f t="shared" si="7"/>
        <v>94200</v>
      </c>
      <c r="R29" s="7">
        <f t="shared" si="8"/>
        <v>2079.9999999999995</v>
      </c>
      <c r="S29" s="7">
        <f t="shared" si="9"/>
        <v>1847.741935483871</v>
      </c>
      <c r="T29" s="8">
        <f t="shared" si="21"/>
        <v>1.1256983240223462</v>
      </c>
      <c r="U29" s="7">
        <f>IF(K29="","",VLOOKUP($B$6,rekenwaarden!M$8:N$12,2))</f>
        <v>8.31</v>
      </c>
      <c r="V29" s="29">
        <f t="shared" si="10"/>
        <v>1440.4</v>
      </c>
      <c r="W29" s="29">
        <f t="shared" si="11"/>
        <v>17284.8</v>
      </c>
      <c r="X29" s="29">
        <f>IF(K29="","", VLOOKUP(B$6,rekenwaarden!M$8:T$12,3)*O29)</f>
        <v>6108.3846153846162</v>
      </c>
      <c r="Y29" s="29">
        <f t="shared" si="12"/>
        <v>70541.990074441695</v>
      </c>
      <c r="Z29" s="29">
        <f>IF(K29="","", VLOOKUP($B$6,rekenwaarden!M$8:T$12,4)*O29)</f>
        <v>10600</v>
      </c>
      <c r="AA29" s="29">
        <f t="shared" si="13"/>
        <v>122412.90322580645</v>
      </c>
      <c r="AB29" s="29">
        <f t="shared" si="14"/>
        <v>53257.190074441693</v>
      </c>
      <c r="AC29" s="29">
        <f t="shared" si="15"/>
        <v>4667.9846153846011</v>
      </c>
      <c r="AD29" s="29">
        <f t="shared" si="22"/>
        <v>23658.009925558305</v>
      </c>
      <c r="AE29" s="29">
        <f t="shared" si="23"/>
        <v>3591.6153846153902</v>
      </c>
      <c r="AF29" s="52">
        <f t="shared" ca="1" si="24"/>
        <v>1386.3914307692264</v>
      </c>
      <c r="AG29" s="52">
        <f t="shared" ca="1" si="25"/>
        <v>1066.7097692307709</v>
      </c>
      <c r="AH29" s="52"/>
      <c r="AI29" s="52"/>
      <c r="AJ29" s="59">
        <f t="shared" ca="1" si="26"/>
        <v>2453.1011999999973</v>
      </c>
    </row>
    <row r="30" spans="3:36" ht="13" thickBot="1" x14ac:dyDescent="0.3">
      <c r="C30" s="40"/>
      <c r="D30" s="41">
        <f t="shared" si="16"/>
        <v>13</v>
      </c>
      <c r="E30" s="10" t="str">
        <f t="shared" si="17"/>
        <v>Periode 13</v>
      </c>
      <c r="F30" s="9">
        <f t="shared" si="17"/>
        <v>46727</v>
      </c>
      <c r="G30" s="9">
        <f t="shared" si="17"/>
        <v>46752</v>
      </c>
      <c r="H30" s="63">
        <f t="shared" si="18"/>
        <v>0</v>
      </c>
      <c r="I30" s="64">
        <f t="shared" si="19"/>
        <v>0</v>
      </c>
      <c r="J30" s="65">
        <f t="shared" si="1"/>
        <v>40</v>
      </c>
      <c r="K30" s="9">
        <f t="shared" si="2"/>
        <v>46727</v>
      </c>
      <c r="L30" s="9">
        <f t="shared" si="3"/>
        <v>46752</v>
      </c>
      <c r="M30" s="10">
        <f t="shared" si="20"/>
        <v>26</v>
      </c>
      <c r="N30" s="11">
        <f t="shared" si="4"/>
        <v>1</v>
      </c>
      <c r="O30" s="12">
        <f t="shared" si="5"/>
        <v>7.6923076923076927E-2</v>
      </c>
      <c r="P30" s="13">
        <f t="shared" si="6"/>
        <v>160</v>
      </c>
      <c r="Q30" s="53">
        <f t="shared" si="7"/>
        <v>94200</v>
      </c>
      <c r="R30" s="14">
        <f t="shared" si="8"/>
        <v>2079.9999999999995</v>
      </c>
      <c r="S30" s="14">
        <f t="shared" si="9"/>
        <v>2007.741935483871</v>
      </c>
      <c r="T30" s="61">
        <f t="shared" si="21"/>
        <v>1.0359897172236501</v>
      </c>
      <c r="U30" s="14">
        <f>IF(K30="","",VLOOKUP($B$6,rekenwaarden!M$8:N$12,2))</f>
        <v>8.31</v>
      </c>
      <c r="V30" s="53">
        <f t="shared" si="10"/>
        <v>0</v>
      </c>
      <c r="W30" s="53">
        <f t="shared" si="11"/>
        <v>17284.8</v>
      </c>
      <c r="X30" s="53">
        <f>IF(K30="","", VLOOKUP(B$6,rekenwaarden!M$8:T$12,3)*O30)</f>
        <v>6108.3846153846162</v>
      </c>
      <c r="Y30" s="53">
        <f t="shared" si="12"/>
        <v>76650.374689826305</v>
      </c>
      <c r="Z30" s="53">
        <f>IF(K30="","", VLOOKUP($B$6,rekenwaarden!M$8:T$12,4)*O30)</f>
        <v>10600</v>
      </c>
      <c r="AA30" s="53">
        <f t="shared" si="13"/>
        <v>133012.90322580645</v>
      </c>
      <c r="AB30" s="53">
        <f t="shared" si="14"/>
        <v>59365.574689826302</v>
      </c>
      <c r="AC30" s="53">
        <f t="shared" si="15"/>
        <v>6108.3846153846098</v>
      </c>
      <c r="AD30" s="53">
        <f t="shared" si="22"/>
        <v>17549.625310173695</v>
      </c>
      <c r="AE30" s="53">
        <f t="shared" si="23"/>
        <v>-6108.3846153846098</v>
      </c>
      <c r="AF30" s="54">
        <f t="shared" ca="1" si="24"/>
        <v>1814.1902307692289</v>
      </c>
      <c r="AG30" s="54">
        <f t="shared" ca="1" si="25"/>
        <v>-1814.1902307692289</v>
      </c>
      <c r="AH30" s="54"/>
      <c r="AI30" s="54"/>
      <c r="AJ30" s="60">
        <f t="shared" ca="1" si="26"/>
        <v>0</v>
      </c>
    </row>
    <row r="31" spans="3:36" ht="13" thickTop="1" x14ac:dyDescent="0.25"/>
  </sheetData>
  <protectedRanges>
    <protectedRange algorithmName="SHA-512" hashValue="XWqXE5y7ud9C/cNOMQiriu88QX5Yy1lrleFAN7oJKKkNVT+uzJ6h7KtAxzO/B3O0E+c9Y+GFFtGwYi0q+W0Ygg==" saltValue="JmBrNhhh+xIagHjXqjMNSQ==" spinCount="100000" sqref="B6:C6 J18:J30" name="Aantepassenvelden"/>
    <protectedRange algorithmName="SHA-512" hashValue="XWqXE5y7ud9C/cNOMQiriu88QX5Yy1lrleFAN7oJKKkNVT+uzJ6h7KtAxzO/B3O0E+c9Y+GFFtGwYi0q+W0Ygg==" saltValue="JmBrNhhh+xIagHjXqjMNSQ==" spinCount="100000" sqref="H18:I30" name="Aantepassenvelden_1"/>
  </protectedRanges>
  <mergeCells count="2">
    <mergeCell ref="H16:I16"/>
    <mergeCell ref="D17:E17"/>
  </mergeCells>
  <dataValidations count="7">
    <dataValidation type="list" allowBlank="1" showInputMessage="1" showErrorMessage="1" sqref="K2:K14" xr:uid="{0B9E5E2B-AC80-4D34-B8F1-5A9663698D4A}">
      <formula1>Code_Reden_Einde_Arbeidsverhouding</formula1>
    </dataValidation>
    <dataValidation type="list" allowBlank="1" showInputMessage="1" showErrorMessage="1" sqref="M2:M14" xr:uid="{3D75C3D9-1F9A-49CD-B0B9-A37435AA7E36}">
      <formula1>Code_Aard_Arbeidsverhouding</formula1>
    </dataValidation>
    <dataValidation type="list" allowBlank="1" showInputMessage="1" showErrorMessage="1" sqref="L2:L14" xr:uid="{0FED7ABD-2AAA-4F1E-8AAD-E7CB0F1C07EA}">
      <formula1>Code_Soort_IKV</formula1>
    </dataValidation>
    <dataValidation type="list" allowBlank="1" showInputMessage="1" showErrorMessage="1" sqref="C2" xr:uid="{72E65D38-00A8-49AD-9ACB-2244FF4D3937}">
      <formula1>"maandelijks,vierwekelijks"</formula1>
    </dataValidation>
    <dataValidation type="list" allowBlank="1" showInputMessage="1" showErrorMessage="1" sqref="B1:C1" xr:uid="{739D5E27-6FCC-4042-B9C0-6915737E8CA8}">
      <formula1>"2027,2028"</formula1>
    </dataValidation>
    <dataValidation type="list" allowBlank="1" showInputMessage="1" showErrorMessage="1" sqref="B8:C8" xr:uid="{C176F8DF-6F08-4D60-BA1A-BA632C57CD58}">
      <formula1>"WAAR,NIET WAAR"</formula1>
    </dataValidation>
    <dataValidation type="list" allowBlank="1" showInputMessage="1" showErrorMessage="1" sqref="B2" xr:uid="{1A52B6DE-3DF5-48D4-9676-FAA1CF827861}">
      <formula1>"Maandelijks,Vierwekelijks"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037AC05-7734-4F09-B2DB-EE23FC98CBE0}">
          <x14:formula1>
            <xm:f>rekenwaarden!$M$8:$M$12</xm:f>
          </x14:formula1>
          <xm:sqref>B6:C6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15E97-6A0D-4E5C-9C49-6CD28DE03909}">
  <sheetPr>
    <tabColor rgb="FFEF6F00"/>
  </sheetPr>
  <dimension ref="A1:AL30"/>
  <sheetViews>
    <sheetView showGridLines="0" tabSelected="1" zoomScale="90" zoomScaleNormal="90" workbookViewId="0">
      <pane xSplit="2" ySplit="30" topLeftCell="C31" activePane="bottomRight" state="frozen"/>
      <selection pane="topRight" activeCell="C1" sqref="C1"/>
      <selection pane="bottomLeft" activeCell="A31" sqref="A31"/>
      <selection pane="bottomRight" activeCell="E33" sqref="E33"/>
    </sheetView>
  </sheetViews>
  <sheetFormatPr defaultRowHeight="12.5" x14ac:dyDescent="0.25"/>
  <cols>
    <col min="1" max="1" width="34" customWidth="1"/>
    <col min="2" max="2" width="24.1796875" customWidth="1"/>
    <col min="3" max="3" width="2.81640625" customWidth="1"/>
    <col min="4" max="4" width="10.453125" customWidth="1"/>
    <col min="5" max="5" width="11.1796875" style="1" customWidth="1"/>
    <col min="6" max="6" width="14.81640625" customWidth="1"/>
    <col min="7" max="7" width="14.1796875" customWidth="1"/>
    <col min="8" max="8" width="12.81640625" customWidth="1"/>
    <col min="9" max="10" width="13.453125" customWidth="1"/>
    <col min="11" max="11" width="16.81640625" customWidth="1"/>
    <col min="12" max="12" width="10.81640625" customWidth="1"/>
    <col min="13" max="13" width="11" customWidth="1"/>
    <col min="14" max="14" width="12" customWidth="1"/>
    <col min="15" max="15" width="12.54296875" customWidth="1"/>
    <col min="16" max="16" width="13.81640625" customWidth="1"/>
    <col min="17" max="17" width="15.81640625" customWidth="1"/>
    <col min="18" max="18" width="14.453125" customWidth="1"/>
    <col min="19" max="20" width="15.81640625" customWidth="1"/>
    <col min="21" max="21" width="16.453125" bestFit="1" customWidth="1"/>
    <col min="22" max="33" width="15.81640625" customWidth="1"/>
    <col min="34" max="34" width="19.453125" bestFit="1" customWidth="1"/>
    <col min="35" max="35" width="20.453125" customWidth="1"/>
    <col min="36" max="36" width="12.81640625" bestFit="1" customWidth="1"/>
    <col min="37" max="37" width="17.1796875" customWidth="1"/>
    <col min="38" max="38" width="13" customWidth="1"/>
  </cols>
  <sheetData>
    <row r="1" spans="1:38" s="79" customFormat="1" ht="29.15" customHeight="1" x14ac:dyDescent="0.25">
      <c r="A1" s="83" t="s">
        <v>0</v>
      </c>
      <c r="B1" s="92">
        <v>2027</v>
      </c>
      <c r="C1" s="160"/>
      <c r="D1" s="84" t="s">
        <v>1</v>
      </c>
      <c r="E1" s="85" t="s">
        <v>59</v>
      </c>
      <c r="F1" s="84" t="s">
        <v>3</v>
      </c>
      <c r="G1" s="84" t="s">
        <v>4</v>
      </c>
      <c r="H1" s="85" t="s">
        <v>5</v>
      </c>
      <c r="I1" s="85" t="s">
        <v>6</v>
      </c>
      <c r="J1" s="85" t="s">
        <v>7</v>
      </c>
      <c r="K1" s="85" t="s">
        <v>8</v>
      </c>
      <c r="L1" s="85" t="s">
        <v>9</v>
      </c>
      <c r="M1" s="85" t="s">
        <v>10</v>
      </c>
      <c r="N1" s="85" t="s">
        <v>11</v>
      </c>
      <c r="O1" s="85" t="s">
        <v>12</v>
      </c>
      <c r="P1" s="85" t="s">
        <v>13</v>
      </c>
      <c r="Q1" s="85" t="s">
        <v>14</v>
      </c>
      <c r="R1" s="85" t="s">
        <v>15</v>
      </c>
      <c r="S1" s="85" t="s">
        <v>16</v>
      </c>
      <c r="T1" s="85" t="s">
        <v>17</v>
      </c>
      <c r="U1" s="85" t="s">
        <v>60</v>
      </c>
      <c r="V1" s="80" t="s">
        <v>18</v>
      </c>
      <c r="W1" s="82" t="s">
        <v>61</v>
      </c>
      <c r="X1" s="81" t="s">
        <v>62</v>
      </c>
      <c r="Y1" s="81" t="s">
        <v>63</v>
      </c>
    </row>
    <row r="2" spans="1:38" s="79" customFormat="1" ht="16.399999999999999" customHeight="1" x14ac:dyDescent="0.25">
      <c r="A2" s="83" t="s">
        <v>19</v>
      </c>
      <c r="B2" s="93" t="s">
        <v>64</v>
      </c>
      <c r="C2" s="160"/>
      <c r="D2" s="103">
        <f>IF(AND($B$2="Maandelijks", COUNTIF($D$1:D1, 12)&gt;1), "",IF(OR(AND($B$2="Maandelijks", D1=12),AND($B$2="Vierwekelijks", D1=13), D1 = "Periode"), 1, A13+1))</f>
        <v>1</v>
      </c>
      <c r="E2" s="104" t="str">
        <f>IF(OR(Datum_Einde_IKV="",Tabel135[[#This Row],[DatAanvTv]]&lt;Datum_Einde_IKV),IF(E1="december","",IF(Verloningsperiodiciteit="maandelijks",rekenwaarden!F3,_xlfn.CONCAT("Periode ",rekenwaarden!E3))),"")</f>
        <v>januari</v>
      </c>
      <c r="F2" s="105">
        <f>IF(Datum_Aanvang_IKV="","",VLOOKUP(MAX(Datum_Aanvang_IKV,DATE($B$1,1,1)),IF(Verloningsperiodiciteit="Vierwekelijks",rekenwaarden!C3:C55,rekenwaarden!I3:I50),1,TRUE))</f>
        <v>46388</v>
      </c>
      <c r="G2" s="105">
        <f>IF(F2="", "", IF(Verloningsperiodiciteit="Vierwekelijks", _xlfn.XLOOKUP(F2,rekenwaarden!$C$3:$C$54,rekenwaarden!$D$3:$D$54,"niet gevonden",-1), _xlfn.XLOOKUP(F2,rekenwaarden!$I$3:$I$54,rekenwaarden!$J$3:$J$54,"niet gevonden",-1)))</f>
        <v>46418</v>
      </c>
      <c r="H2" s="106">
        <f>IF(Tabel135[[#This Row],[Inkomsten-periode]]="","",DATEDIF(Geboortedatum,Tabel135[[#This Row],[DatEindTv]],"Y"))</f>
        <v>56</v>
      </c>
      <c r="I2" s="105">
        <f>IF(Tabel135[[#This Row],[Inkomsten-periode]]="","",IF(Datum_Aanvang_IKV="","",Datum_Aanvang_IKV))</f>
        <v>46174</v>
      </c>
      <c r="J2" s="105" t="str">
        <f>IF(Tabel135[[#This Row],[Inkomsten-periode]]="","",IF(Datum_Einde_IKV="","",IF(Datum_Einde_IKV&lt;=Tabel135[[#This Row],[DatEindTv]],Datum_Einde_IKV,"")))</f>
        <v/>
      </c>
      <c r="K2" s="99"/>
      <c r="L2" s="99">
        <v>13</v>
      </c>
      <c r="M2" s="99">
        <v>1</v>
      </c>
      <c r="N2" s="169">
        <v>173</v>
      </c>
      <c r="O2" s="100">
        <v>4000</v>
      </c>
      <c r="P2" s="100">
        <v>0</v>
      </c>
      <c r="Q2" s="100">
        <v>320</v>
      </c>
      <c r="R2" s="100">
        <v>0</v>
      </c>
      <c r="S2" s="100">
        <v>300</v>
      </c>
      <c r="T2" s="100">
        <v>4000</v>
      </c>
      <c r="U2" s="100"/>
      <c r="V2" s="143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Row],[OpnAvwb]],0))))</f>
        <v>4620</v>
      </c>
      <c r="W2" s="144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Row],[AantVerlU]],0))))</f>
        <v>173</v>
      </c>
      <c r="X2" s="143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Row],[OpnAvwb]],"")),"")</f>
        <v/>
      </c>
      <c r="Y2" s="144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Row],[AantVerlU]],"")),"")</f>
        <v/>
      </c>
    </row>
    <row r="3" spans="1:38" s="79" customFormat="1" ht="16.399999999999999" customHeight="1" x14ac:dyDescent="0.25">
      <c r="A3" s="83" t="s">
        <v>21</v>
      </c>
      <c r="B3" s="94">
        <v>25785</v>
      </c>
      <c r="C3" s="161"/>
      <c r="D3" s="104">
        <f>IF(OR(Datum_Einde_IKV&gt;G2,Datum_Einde_IKV=""),IF(AND($B$2="Maandelijks", COUNTIF($D$1:D2, 12)=1), "",IF(OR(AND($B$2="Maandelijks", D2=12),AND($B$2="Vierwekelijks", D2=13), D2 = "Periode"), 1, D2+1)),"")</f>
        <v>2</v>
      </c>
      <c r="E3" s="104" t="str">
        <f>IF(OR(Datum_Einde_IKV="",Tabel135[[#This Row],[DatAanvTv]]&lt;Datum_Einde_IKV),IF(E2="december","",IF(Verloningsperiodiciteit="maandelijks",rekenwaarden!F4,_xlfn.CONCAT("Periode ",rekenwaarden!E4))),"")</f>
        <v>februari</v>
      </c>
      <c r="F3" s="105">
        <f t="shared" ref="F3:F14" si="0">IF(OR(G2="",D3="",IF(Datum_Einde_IKV&lt;&gt;"",G2&gt;=Datum_Einde_IKV,"")),"",G2+1)</f>
        <v>46419</v>
      </c>
      <c r="G3" s="105">
        <f>IF(F3="", "", IF(Verloningsperiodiciteit="Vierwekelijks", _xlfn.XLOOKUP(F3,rekenwaarden!$C$3:$C$54,rekenwaarden!$D$3:$D$54,"niet gevonden",-1), _xlfn.XLOOKUP(F3,rekenwaarden!$I$3:$I$54,rekenwaarden!$J$3:$J$54,"niet gevonden",-1)))</f>
        <v>46446</v>
      </c>
      <c r="H3" s="106">
        <f>IF(Tabel135[[#This Row],[Inkomsten-periode]]="","",DATEDIF(Geboortedatum,Tabel135[[#This Row],[DatEindTv]],"Y"))</f>
        <v>56</v>
      </c>
      <c r="I3" s="105">
        <f>IF(Tabel135[[#This Row],[Inkomsten-periode]]="","",IF(Datum_Aanvang_IKV="","",Datum_Aanvang_IKV))</f>
        <v>46174</v>
      </c>
      <c r="J3" s="105" t="str">
        <f>IF(Tabel135[[#This Row],[Inkomsten-periode]]="","",IF(Datum_Einde_IKV="","",IF(Datum_Einde_IKV&lt;=Tabel135[[#This Row],[DatEindTv]],Datum_Einde_IKV,"")))</f>
        <v/>
      </c>
      <c r="K3" s="101"/>
      <c r="L3" s="101">
        <v>13</v>
      </c>
      <c r="M3" s="101">
        <v>1</v>
      </c>
      <c r="N3" s="170">
        <v>173</v>
      </c>
      <c r="O3" s="102">
        <v>4000</v>
      </c>
      <c r="P3" s="102">
        <v>0</v>
      </c>
      <c r="Q3" s="102">
        <v>320</v>
      </c>
      <c r="R3" s="102">
        <v>0</v>
      </c>
      <c r="S3" s="102">
        <v>300</v>
      </c>
      <c r="T3" s="102">
        <v>4000</v>
      </c>
      <c r="U3" s="102"/>
      <c r="V3" s="143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Row],[OpnAvwb]],0))))</f>
        <v>4620</v>
      </c>
      <c r="W3" s="145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Row],[AantVerlU]],0))))</f>
        <v>173</v>
      </c>
      <c r="X3" s="143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Row],[OpnAvwb]],"")),"")</f>
        <v/>
      </c>
      <c r="Y3" s="145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Row],[AantVerlU]],"")),"")</f>
        <v/>
      </c>
    </row>
    <row r="4" spans="1:38" s="79" customFormat="1" ht="16.399999999999999" customHeight="1" x14ac:dyDescent="0.25">
      <c r="A4" s="83" t="s">
        <v>22</v>
      </c>
      <c r="B4" s="95">
        <v>46174</v>
      </c>
      <c r="C4" s="161"/>
      <c r="D4" s="103">
        <f>IF(OR(Datum_Einde_IKV&gt;G3,Datum_Einde_IKV=""),IF(AND($B$2="Maandelijks", COUNTIF($D$1:D3, 12)=1), "",IF(OR(AND($B$2="Maandelijks", D3=12),AND($B$2="Vierwekelijks", D3=13), D3 = "Periode"), 1, D3+1)),"")</f>
        <v>3</v>
      </c>
      <c r="E4" s="104" t="str">
        <f>IF(OR(Datum_Einde_IKV="",Tabel135[[#This Row],[DatAanvTv]]&lt;Datum_Einde_IKV),IF(E3="december","",IF(Verloningsperiodiciteit="maandelijks",rekenwaarden!F5,_xlfn.CONCAT("Periode ",rekenwaarden!E5))),"")</f>
        <v>maart</v>
      </c>
      <c r="F4" s="105">
        <f t="shared" si="0"/>
        <v>46447</v>
      </c>
      <c r="G4" s="105">
        <f>IF(F4="", "", IF(Verloningsperiodiciteit="Vierwekelijks", _xlfn.XLOOKUP(F4,rekenwaarden!$C$3:$C$54,rekenwaarden!$D$3:$D$54,"niet gevonden",-1), _xlfn.XLOOKUP(F4,rekenwaarden!$I$3:$I$54,rekenwaarden!$J$3:$J$54,"niet gevonden",-1)))</f>
        <v>46477</v>
      </c>
      <c r="H4" s="106">
        <f>IF(Tabel135[[#This Row],[Inkomsten-periode]]="","",DATEDIF(Geboortedatum,Tabel135[[#This Row],[DatEindTv]],"Y"))</f>
        <v>56</v>
      </c>
      <c r="I4" s="105">
        <f>IF(Tabel135[[#This Row],[Inkomsten-periode]]="","",IF(Datum_Aanvang_IKV="","",Datum_Aanvang_IKV))</f>
        <v>46174</v>
      </c>
      <c r="J4" s="105" t="str">
        <f>IF(Tabel135[[#This Row],[Inkomsten-periode]]="","",IF(Datum_Einde_IKV="","",IF(Datum_Einde_IKV&lt;=Tabel135[[#This Row],[DatEindTv]],Datum_Einde_IKV,"")))</f>
        <v/>
      </c>
      <c r="K4" s="99"/>
      <c r="L4" s="99">
        <v>13</v>
      </c>
      <c r="M4" s="99">
        <v>1</v>
      </c>
      <c r="N4" s="169">
        <v>173</v>
      </c>
      <c r="O4" s="100">
        <v>4000</v>
      </c>
      <c r="P4" s="100">
        <v>0</v>
      </c>
      <c r="Q4" s="100">
        <v>320</v>
      </c>
      <c r="R4" s="100">
        <v>0</v>
      </c>
      <c r="S4" s="100">
        <v>300</v>
      </c>
      <c r="T4" s="100">
        <v>4000</v>
      </c>
      <c r="U4" s="100"/>
      <c r="V4" s="143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Row],[OpnAvwb]],0))))</f>
        <v>4620</v>
      </c>
      <c r="W4" s="145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Row],[AantVerlU]],0))))</f>
        <v>173</v>
      </c>
      <c r="X4" s="143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Row],[OpnAvwb]],"")),"")</f>
        <v/>
      </c>
      <c r="Y4" s="145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Row],[AantVerlU]],"")),"")</f>
        <v/>
      </c>
    </row>
    <row r="5" spans="1:38" s="79" customFormat="1" ht="16.399999999999999" customHeight="1" x14ac:dyDescent="0.25">
      <c r="A5" s="83" t="s">
        <v>23</v>
      </c>
      <c r="B5" s="94"/>
      <c r="C5" s="161"/>
      <c r="D5" s="104">
        <f>IF(OR(Datum_Einde_IKV&gt;G4,Datum_Einde_IKV=""),IF(AND($B$2="Maandelijks", COUNTIF($D$1:D4, 12)=1), "",IF(OR(AND($B$2="Maandelijks", D4=12),AND($B$2="Vierwekelijks", D4=13), D4 = "Periode"), 1, D4+1)),"")</f>
        <v>4</v>
      </c>
      <c r="E5" s="104" t="str">
        <f>IF(OR(Datum_Einde_IKV="",Tabel135[[#This Row],[DatAanvTv]]&lt;Datum_Einde_IKV),IF(E4="december","",IF(Verloningsperiodiciteit="maandelijks",rekenwaarden!F6,_xlfn.CONCAT("Periode ",rekenwaarden!E6))),"")</f>
        <v>april</v>
      </c>
      <c r="F5" s="105">
        <f t="shared" si="0"/>
        <v>46478</v>
      </c>
      <c r="G5" s="105">
        <f>IF(F5="", "", IF(Verloningsperiodiciteit="Vierwekelijks", _xlfn.XLOOKUP(F5,rekenwaarden!$C$3:$C$54,rekenwaarden!$D$3:$D$54,"niet gevonden",-1), _xlfn.XLOOKUP(F5,rekenwaarden!$I$3:$I$54,rekenwaarden!$J$3:$J$54,"niet gevonden",-1)))</f>
        <v>46507</v>
      </c>
      <c r="H5" s="106">
        <f>IF(Tabel135[[#This Row],[Inkomsten-periode]]="","",DATEDIF(Geboortedatum,Tabel135[[#This Row],[DatEindTv]],"Y"))</f>
        <v>56</v>
      </c>
      <c r="I5" s="105">
        <f>IF(Tabel135[[#This Row],[Inkomsten-periode]]="","",IF(Datum_Aanvang_IKV="","",Datum_Aanvang_IKV))</f>
        <v>46174</v>
      </c>
      <c r="J5" s="105" t="str">
        <f>IF(Tabel135[[#This Row],[Inkomsten-periode]]="","",IF(Datum_Einde_IKV="","",IF(Datum_Einde_IKV&lt;=Tabel135[[#This Row],[DatEindTv]],Datum_Einde_IKV,"")))</f>
        <v/>
      </c>
      <c r="K5" s="101"/>
      <c r="L5" s="101">
        <v>13</v>
      </c>
      <c r="M5" s="101">
        <v>1</v>
      </c>
      <c r="N5" s="170">
        <v>173</v>
      </c>
      <c r="O5" s="102">
        <v>4000</v>
      </c>
      <c r="P5" s="102">
        <v>0</v>
      </c>
      <c r="Q5" s="102">
        <v>320</v>
      </c>
      <c r="R5" s="102">
        <v>0</v>
      </c>
      <c r="S5" s="102">
        <v>300</v>
      </c>
      <c r="T5" s="102">
        <v>4000</v>
      </c>
      <c r="U5" s="102"/>
      <c r="V5" s="143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Row],[OpnAvwb]],0))))</f>
        <v>4620</v>
      </c>
      <c r="W5" s="145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Row],[AantVerlU]],0))))</f>
        <v>173</v>
      </c>
      <c r="X5" s="143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Row],[OpnAvwb]],"")),"")</f>
        <v/>
      </c>
      <c r="Y5" s="145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Row],[AantVerlU]],"")),"")</f>
        <v/>
      </c>
    </row>
    <row r="6" spans="1:38" s="79" customFormat="1" ht="16.399999999999999" customHeight="1" x14ac:dyDescent="0.25">
      <c r="A6" s="83" t="s">
        <v>24</v>
      </c>
      <c r="B6" s="96" t="s">
        <v>25</v>
      </c>
      <c r="C6" s="162"/>
      <c r="D6" s="103">
        <f>IF(OR(Datum_Einde_IKV&gt;G5,Datum_Einde_IKV=""),IF(AND($B$2="Maandelijks", COUNTIF($D$1:D5, 12)=1), "",IF(OR(AND($B$2="Maandelijks", D5=12),AND($B$2="Vierwekelijks", D5=13), D5 = "Periode"), 1, D5+1)),"")</f>
        <v>5</v>
      </c>
      <c r="E6" s="104" t="str">
        <f>IF(OR(Datum_Einde_IKV="",Tabel135[[#This Row],[DatAanvTv]]&lt;Datum_Einde_IKV),IF(E5="december","",IF(Verloningsperiodiciteit="maandelijks",rekenwaarden!F7,_xlfn.CONCAT("Periode ",rekenwaarden!E7))),"")</f>
        <v>mei</v>
      </c>
      <c r="F6" s="105">
        <f t="shared" si="0"/>
        <v>46508</v>
      </c>
      <c r="G6" s="105">
        <f>IF(F6="", "", IF(Verloningsperiodiciteit="Vierwekelijks", _xlfn.XLOOKUP(F6,rekenwaarden!$C$3:$C$54,rekenwaarden!$D$3:$D$54,"niet gevonden",-1), _xlfn.XLOOKUP(F6,rekenwaarden!$I$3:$I$54,rekenwaarden!$J$3:$J$54,"niet gevonden",-1)))</f>
        <v>46538</v>
      </c>
      <c r="H6" s="106">
        <f>IF(Tabel135[[#This Row],[Inkomsten-periode]]="","",DATEDIF(Geboortedatum,Tabel135[[#This Row],[DatEindTv]],"Y"))</f>
        <v>56</v>
      </c>
      <c r="I6" s="105">
        <f>IF(Tabel135[[#This Row],[Inkomsten-periode]]="","",IF(Datum_Aanvang_IKV="","",Datum_Aanvang_IKV))</f>
        <v>46174</v>
      </c>
      <c r="J6" s="105" t="str">
        <f>IF(Tabel135[[#This Row],[Inkomsten-periode]]="","",IF(Datum_Einde_IKV="","",IF(Datum_Einde_IKV&lt;=Tabel135[[#This Row],[DatEindTv]],Datum_Einde_IKV,"")))</f>
        <v/>
      </c>
      <c r="K6" s="99"/>
      <c r="L6" s="99">
        <v>13</v>
      </c>
      <c r="M6" s="99">
        <v>1</v>
      </c>
      <c r="N6" s="169">
        <v>173</v>
      </c>
      <c r="O6" s="100">
        <v>8800</v>
      </c>
      <c r="P6" s="100">
        <v>3800</v>
      </c>
      <c r="Q6" s="100">
        <v>320</v>
      </c>
      <c r="R6" s="100">
        <v>1000</v>
      </c>
      <c r="S6" s="100">
        <v>300</v>
      </c>
      <c r="T6" s="100">
        <v>8800</v>
      </c>
      <c r="U6" s="100"/>
      <c r="V6" s="143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Row],[OpnAvwb]],0))))</f>
        <v>4620</v>
      </c>
      <c r="W6" s="145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Row],[AantVerlU]],0))))</f>
        <v>173</v>
      </c>
      <c r="X6" s="143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Row],[OpnAvwb]],"")),"")</f>
        <v/>
      </c>
      <c r="Y6" s="145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Row],[AantVerlU]],"")),"")</f>
        <v/>
      </c>
    </row>
    <row r="7" spans="1:38" s="79" customFormat="1" ht="16.399999999999999" customHeight="1" x14ac:dyDescent="0.25">
      <c r="A7" s="83" t="s">
        <v>26</v>
      </c>
      <c r="B7" s="97">
        <f>VLOOKUP(B6,rekenwaarden!M8:T12,8)</f>
        <v>40</v>
      </c>
      <c r="C7" s="163"/>
      <c r="D7" s="104">
        <f>IF(OR(Datum_Einde_IKV&gt;G6,Datum_Einde_IKV=""),IF(AND($B$2="Maandelijks", COUNTIF($D$1:D6, 12)=1), "",IF(OR(AND($B$2="Maandelijks", D6=12),AND($B$2="Vierwekelijks", D6=13), D6 = "Periode"), 1, D6+1)),"")</f>
        <v>6</v>
      </c>
      <c r="E7" s="104" t="str">
        <f>IF(OR(Datum_Einde_IKV="",Tabel135[[#This Row],[DatAanvTv]]&lt;Datum_Einde_IKV),IF(E6="december","",IF(Verloningsperiodiciteit="maandelijks",rekenwaarden!F8,_xlfn.CONCAT("Periode ",rekenwaarden!E8))),"")</f>
        <v>juni</v>
      </c>
      <c r="F7" s="105">
        <f t="shared" si="0"/>
        <v>46539</v>
      </c>
      <c r="G7" s="105">
        <f>IF(F7="", "", IF(Verloningsperiodiciteit="Vierwekelijks", _xlfn.XLOOKUP(F7,rekenwaarden!$C$3:$C$54,rekenwaarden!$D$3:$D$54,"niet gevonden",-1), _xlfn.XLOOKUP(F7,rekenwaarden!$I$3:$I$54,rekenwaarden!$J$3:$J$54,"niet gevonden",-1)))</f>
        <v>46568</v>
      </c>
      <c r="H7" s="106">
        <f>IF(Tabel135[[#This Row],[Inkomsten-periode]]="","",DATEDIF(Geboortedatum,Tabel135[[#This Row],[DatEindTv]],"Y"))</f>
        <v>56</v>
      </c>
      <c r="I7" s="105">
        <f>IF(Tabel135[[#This Row],[Inkomsten-periode]]="","",IF(Datum_Aanvang_IKV="","",Datum_Aanvang_IKV))</f>
        <v>46174</v>
      </c>
      <c r="J7" s="105" t="str">
        <f>IF(Tabel135[[#This Row],[Inkomsten-periode]]="","",IF(Datum_Einde_IKV="","",IF(Datum_Einde_IKV&lt;=Tabel135[[#This Row],[DatEindTv]],Datum_Einde_IKV,"")))</f>
        <v/>
      </c>
      <c r="K7" s="101"/>
      <c r="L7" s="101">
        <v>13</v>
      </c>
      <c r="M7" s="101">
        <v>1</v>
      </c>
      <c r="N7" s="170">
        <v>173</v>
      </c>
      <c r="O7" s="102">
        <v>4000</v>
      </c>
      <c r="P7" s="102">
        <v>0</v>
      </c>
      <c r="Q7" s="102">
        <v>320</v>
      </c>
      <c r="R7" s="102">
        <v>0</v>
      </c>
      <c r="S7" s="102">
        <v>300</v>
      </c>
      <c r="T7" s="102">
        <v>4000</v>
      </c>
      <c r="U7" s="102"/>
      <c r="V7" s="143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Row],[OpnAvwb]],0))))</f>
        <v>4620</v>
      </c>
      <c r="W7" s="145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Row],[AantVerlU]],0))))</f>
        <v>173</v>
      </c>
      <c r="X7" s="143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Row],[OpnAvwb]],"")),"")</f>
        <v/>
      </c>
      <c r="Y7" s="145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Row],[AantVerlU]],"")),"")</f>
        <v/>
      </c>
    </row>
    <row r="8" spans="1:38" s="79" customFormat="1" ht="16.399999999999999" customHeight="1" x14ac:dyDescent="0.25">
      <c r="A8" s="83" t="s">
        <v>27</v>
      </c>
      <c r="B8" s="98" t="b">
        <v>1</v>
      </c>
      <c r="C8" s="161"/>
      <c r="D8" s="103">
        <f>IF(OR(Datum_Einde_IKV&gt;G7,Datum_Einde_IKV=""),IF(AND($B$2="Maandelijks", COUNTIF($D$1:D7, 12)=1), "",IF(OR(AND($B$2="Maandelijks", D7=12),AND($B$2="Vierwekelijks", D7=13), D7 = "Periode"), 1, D7+1)),"")</f>
        <v>7</v>
      </c>
      <c r="E8" s="104" t="str">
        <f>IF(OR(Datum_Einde_IKV="",Tabel135[[#This Row],[DatAanvTv]]&lt;Datum_Einde_IKV),IF(E7="december","",IF(Verloningsperiodiciteit="maandelijks",rekenwaarden!F9,_xlfn.CONCAT("Periode ",rekenwaarden!E9))),"")</f>
        <v>juli</v>
      </c>
      <c r="F8" s="105">
        <f t="shared" si="0"/>
        <v>46569</v>
      </c>
      <c r="G8" s="105">
        <f>IF(F8="", "", IF(Verloningsperiodiciteit="Vierwekelijks", _xlfn.XLOOKUP(F8,rekenwaarden!$C$3:$C$54,rekenwaarden!$D$3:$D$54,"niet gevonden",-1), _xlfn.XLOOKUP(F8,rekenwaarden!$I$3:$I$54,rekenwaarden!$J$3:$J$54,"niet gevonden",-1)))</f>
        <v>46599</v>
      </c>
      <c r="H8" s="106">
        <f>IF(Tabel135[[#This Row],[Inkomsten-periode]]="","",DATEDIF(Geboortedatum,Tabel135[[#This Row],[DatEindTv]],"Y"))</f>
        <v>56</v>
      </c>
      <c r="I8" s="105">
        <f>IF(Tabel135[[#This Row],[Inkomsten-periode]]="","",IF(Datum_Aanvang_IKV="","",Datum_Aanvang_IKV))</f>
        <v>46174</v>
      </c>
      <c r="J8" s="105" t="str">
        <f>IF(Tabel135[[#This Row],[Inkomsten-periode]]="","",IF(Datum_Einde_IKV="","",IF(Datum_Einde_IKV&lt;=Tabel135[[#This Row],[DatEindTv]],Datum_Einde_IKV,"")))</f>
        <v/>
      </c>
      <c r="K8" s="99"/>
      <c r="L8" s="99">
        <v>13</v>
      </c>
      <c r="M8" s="99">
        <v>1</v>
      </c>
      <c r="N8" s="169">
        <v>173</v>
      </c>
      <c r="O8" s="100">
        <v>4000</v>
      </c>
      <c r="P8" s="100">
        <v>0</v>
      </c>
      <c r="Q8" s="100">
        <v>320</v>
      </c>
      <c r="R8" s="100">
        <v>0</v>
      </c>
      <c r="S8" s="100">
        <v>300</v>
      </c>
      <c r="T8" s="100">
        <v>4000</v>
      </c>
      <c r="U8" s="100"/>
      <c r="V8" s="143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Row],[OpnAvwb]],0))))</f>
        <v>4620</v>
      </c>
      <c r="W8" s="145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Row],[AantVerlU]],0))))</f>
        <v>173</v>
      </c>
      <c r="X8" s="143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Row],[OpnAvwb]],"")),"")</f>
        <v/>
      </c>
      <c r="Y8" s="145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Row],[AantVerlU]],"")),"")</f>
        <v/>
      </c>
    </row>
    <row r="9" spans="1:38" s="79" customFormat="1" ht="16.399999999999999" customHeight="1" x14ac:dyDescent="0.25">
      <c r="A9" s="83"/>
      <c r="B9" s="92"/>
      <c r="C9" s="159"/>
      <c r="D9" s="104">
        <f>IF(OR(Datum_Einde_IKV&gt;G8,Datum_Einde_IKV=""),IF(AND($B$2="Maandelijks", COUNTIF($D$1:D8, 12)=1), "",IF(OR(AND($B$2="Maandelijks", D8=12),AND($B$2="Vierwekelijks", D8=13), D8 = "Periode"), 1, D8+1)),"")</f>
        <v>8</v>
      </c>
      <c r="E9" s="104" t="str">
        <f>IF(OR(Datum_Einde_IKV="",Tabel135[[#This Row],[DatAanvTv]]&lt;Datum_Einde_IKV),IF(E8="december","",IF(Verloningsperiodiciteit="maandelijks",rekenwaarden!F10,_xlfn.CONCAT("Periode ",rekenwaarden!E10))),"")</f>
        <v>augustus</v>
      </c>
      <c r="F9" s="105">
        <f t="shared" si="0"/>
        <v>46600</v>
      </c>
      <c r="G9" s="105">
        <f>IF(F9="", "", IF(Verloningsperiodiciteit="Vierwekelijks", _xlfn.XLOOKUP(F9,rekenwaarden!$C$3:$C$54,rekenwaarden!$D$3:$D$54,"niet gevonden",-1), _xlfn.XLOOKUP(F9,rekenwaarden!$I$3:$I$54,rekenwaarden!$J$3:$J$54,"niet gevonden",-1)))</f>
        <v>46630</v>
      </c>
      <c r="H9" s="106">
        <f>IF(Tabel135[[#This Row],[Inkomsten-periode]]="","",DATEDIF(Geboortedatum,Tabel135[[#This Row],[DatEindTv]],"Y"))</f>
        <v>57</v>
      </c>
      <c r="I9" s="105">
        <f>IF(Tabel135[[#This Row],[Inkomsten-periode]]="","",IF(Datum_Aanvang_IKV="","",Datum_Aanvang_IKV))</f>
        <v>46174</v>
      </c>
      <c r="J9" s="105" t="str">
        <f>IF(Tabel135[[#This Row],[Inkomsten-periode]]="","",IF(Datum_Einde_IKV="","",IF(Datum_Einde_IKV&lt;=Tabel135[[#This Row],[DatEindTv]],Datum_Einde_IKV,"")))</f>
        <v/>
      </c>
      <c r="K9" s="101"/>
      <c r="L9" s="101">
        <v>13</v>
      </c>
      <c r="M9" s="101">
        <v>1</v>
      </c>
      <c r="N9" s="170">
        <v>173</v>
      </c>
      <c r="O9" s="102">
        <v>4000</v>
      </c>
      <c r="P9" s="102">
        <v>0</v>
      </c>
      <c r="Q9" s="102">
        <v>320</v>
      </c>
      <c r="R9" s="102">
        <v>0</v>
      </c>
      <c r="S9" s="102">
        <v>300</v>
      </c>
      <c r="T9" s="102">
        <v>4000</v>
      </c>
      <c r="U9" s="102"/>
      <c r="V9" s="143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Row],[OpnAvwb]],0))))</f>
        <v>4620</v>
      </c>
      <c r="W9" s="145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Row],[AantVerlU]],0))))</f>
        <v>173</v>
      </c>
      <c r="X9" s="143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Row],[OpnAvwb]],"")),"")</f>
        <v/>
      </c>
      <c r="Y9" s="145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Row],[AantVerlU]],"")),"")</f>
        <v/>
      </c>
    </row>
    <row r="10" spans="1:38" s="79" customFormat="1" ht="16.399999999999999" customHeight="1" thickBot="1" x14ac:dyDescent="0.3">
      <c r="A10" s="159"/>
      <c r="B10" s="159"/>
      <c r="C10" s="159"/>
      <c r="D10" s="103">
        <f>IF(OR(Datum_Einde_IKV&gt;G9,Datum_Einde_IKV=""),IF(AND($B$2="Maandelijks", COUNTIF($D$1:D9, 12)=1), "",IF(OR(AND($B$2="Maandelijks", D9=12),AND($B$2="Vierwekelijks", D9=13), D9 = "Periode"), 1, D9+1)),"")</f>
        <v>9</v>
      </c>
      <c r="E10" s="104" t="str">
        <f>IF(OR(Datum_Einde_IKV="",Tabel135[[#This Row],[DatAanvTv]]&lt;Datum_Einde_IKV),IF(E9="december","",IF(Verloningsperiodiciteit="maandelijks",rekenwaarden!F11,_xlfn.CONCAT("Periode ",rekenwaarden!E11))),"")</f>
        <v>september</v>
      </c>
      <c r="F10" s="105">
        <f t="shared" si="0"/>
        <v>46631</v>
      </c>
      <c r="G10" s="105">
        <f>IF(F10="", "", IF(Verloningsperiodiciteit="Vierwekelijks", _xlfn.XLOOKUP(F10,rekenwaarden!$C$3:$C$54,rekenwaarden!$D$3:$D$54,"niet gevonden",-1), _xlfn.XLOOKUP(F10,rekenwaarden!$I$3:$I$54,rekenwaarden!$J$3:$J$54,"niet gevonden",-1)))</f>
        <v>46660</v>
      </c>
      <c r="H10" s="106">
        <f>IF(Tabel135[[#This Row],[Inkomsten-periode]]="","",DATEDIF(Geboortedatum,Tabel135[[#This Row],[DatEindTv]],"Y"))</f>
        <v>57</v>
      </c>
      <c r="I10" s="105">
        <f>IF(Tabel135[[#This Row],[Inkomsten-periode]]="","",IF(Datum_Aanvang_IKV="","",Datum_Aanvang_IKV))</f>
        <v>46174</v>
      </c>
      <c r="J10" s="105" t="str">
        <f>IF(Tabel135[[#This Row],[Inkomsten-periode]]="","",IF(Datum_Einde_IKV="","",IF(Datum_Einde_IKV&lt;=Tabel135[[#This Row],[DatEindTv]],Datum_Einde_IKV,"")))</f>
        <v/>
      </c>
      <c r="K10" s="99"/>
      <c r="L10" s="99">
        <v>13</v>
      </c>
      <c r="M10" s="99">
        <v>1</v>
      </c>
      <c r="N10" s="169">
        <v>173</v>
      </c>
      <c r="O10" s="100">
        <v>4000</v>
      </c>
      <c r="P10" s="100">
        <v>0</v>
      </c>
      <c r="Q10" s="100">
        <v>320</v>
      </c>
      <c r="R10" s="100">
        <v>0</v>
      </c>
      <c r="S10" s="100">
        <v>300</v>
      </c>
      <c r="T10" s="100">
        <v>4000</v>
      </c>
      <c r="U10" s="100"/>
      <c r="V10" s="143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Row],[OpnAvwb]],0))))</f>
        <v>4620</v>
      </c>
      <c r="W10" s="145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Row],[AantVerlU]],0))))</f>
        <v>173</v>
      </c>
      <c r="X10" s="143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Row],[OpnAvwb]],"")),"")</f>
        <v/>
      </c>
      <c r="Y10" s="145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Row],[AantVerlU]],"")),"")</f>
        <v/>
      </c>
    </row>
    <row r="11" spans="1:38" s="79" customFormat="1" ht="16.399999999999999" customHeight="1" x14ac:dyDescent="0.25">
      <c r="A11" s="174" t="s">
        <v>112</v>
      </c>
      <c r="B11" s="175"/>
      <c r="C11" s="159"/>
      <c r="D11" s="104">
        <f>IF(OR(Datum_Einde_IKV&gt;G10,Datum_Einde_IKV=""),IF(AND($B$2="Maandelijks", COUNTIF($D$1:D10, 12)=1), "",IF(OR(AND($B$2="Maandelijks", D10=12),AND($B$2="Vierwekelijks", D10=13), D10 = "Periode"), 1, D10+1)),"")</f>
        <v>10</v>
      </c>
      <c r="E11" s="104" t="str">
        <f>IF(OR(Datum_Einde_IKV="",Tabel135[[#This Row],[DatAanvTv]]&lt;Datum_Einde_IKV),IF(E10="december","",IF(Verloningsperiodiciteit="maandelijks",rekenwaarden!F12,_xlfn.CONCAT("Periode ",rekenwaarden!E12))),"")</f>
        <v>oktober</v>
      </c>
      <c r="F11" s="105">
        <f t="shared" si="0"/>
        <v>46661</v>
      </c>
      <c r="G11" s="105">
        <f>IF(F11="", "", IF(Verloningsperiodiciteit="Vierwekelijks", _xlfn.XLOOKUP(F11,rekenwaarden!$C$3:$C$54,rekenwaarden!$D$3:$D$54,"niet gevonden",-1), _xlfn.XLOOKUP(F11,rekenwaarden!$I$3:$I$54,rekenwaarden!$J$3:$J$54,"niet gevonden",-1)))</f>
        <v>46691</v>
      </c>
      <c r="H11" s="106">
        <f>IF(Tabel135[[#This Row],[Inkomsten-periode]]="","",DATEDIF(Geboortedatum,Tabel135[[#This Row],[DatEindTv]],"Y"))</f>
        <v>57</v>
      </c>
      <c r="I11" s="105">
        <f>IF(Tabel135[[#This Row],[Inkomsten-periode]]="","",IF(Datum_Aanvang_IKV="","",Datum_Aanvang_IKV))</f>
        <v>46174</v>
      </c>
      <c r="J11" s="105" t="str">
        <f>IF(Tabel135[[#This Row],[Inkomsten-periode]]="","",IF(Datum_Einde_IKV="","",IF(Datum_Einde_IKV&lt;=Tabel135[[#This Row],[DatEindTv]],Datum_Einde_IKV,"")))</f>
        <v/>
      </c>
      <c r="K11" s="101"/>
      <c r="L11" s="101">
        <v>13</v>
      </c>
      <c r="M11" s="101">
        <v>1</v>
      </c>
      <c r="N11" s="170">
        <v>173</v>
      </c>
      <c r="O11" s="102">
        <v>4000</v>
      </c>
      <c r="P11" s="102">
        <v>0</v>
      </c>
      <c r="Q11" s="102">
        <v>320</v>
      </c>
      <c r="R11" s="102">
        <v>0</v>
      </c>
      <c r="S11" s="102">
        <v>300</v>
      </c>
      <c r="T11" s="102">
        <v>4000</v>
      </c>
      <c r="U11" s="102"/>
      <c r="V11" s="143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Row],[OpnAvwb]],0))))</f>
        <v>4620</v>
      </c>
      <c r="W11" s="145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Row],[AantVerlU]],0))))</f>
        <v>173</v>
      </c>
      <c r="X11" s="143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Row],[OpnAvwb]],"")),"")</f>
        <v/>
      </c>
      <c r="Y11" s="145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Row],[AantVerlU]],"")),"")</f>
        <v/>
      </c>
    </row>
    <row r="12" spans="1:38" s="79" customFormat="1" ht="16.399999999999999" customHeight="1" x14ac:dyDescent="0.25">
      <c r="A12" s="86" t="s">
        <v>113</v>
      </c>
      <c r="B12" s="87"/>
      <c r="C12" s="159"/>
      <c r="D12" s="103">
        <f>IF(OR(Datum_Einde_IKV&gt;G11,Datum_Einde_IKV=""),IF(AND($B$2="Maandelijks", COUNTIF($D$1:D11, 12)=1), "",IF(OR(AND($B$2="Maandelijks", D11=12),AND($B$2="Vierwekelijks", D11=13), D11 = "Periode"), 1, D11+1)),"")</f>
        <v>11</v>
      </c>
      <c r="E12" s="104" t="str">
        <f>IF(OR(Datum_Einde_IKV="",Tabel135[[#This Row],[DatAanvTv]]&lt;Datum_Einde_IKV),IF(E11="december","",IF(Verloningsperiodiciteit="maandelijks",rekenwaarden!F13,_xlfn.CONCAT("Periode ",rekenwaarden!E13))),"")</f>
        <v>november</v>
      </c>
      <c r="F12" s="105">
        <f t="shared" si="0"/>
        <v>46692</v>
      </c>
      <c r="G12" s="105">
        <f>IF(F12="", "", IF(Verloningsperiodiciteit="Vierwekelijks", _xlfn.XLOOKUP(F12,rekenwaarden!$C$3:$C$54,rekenwaarden!$D$3:$D$54,"niet gevonden",-1), _xlfn.XLOOKUP(F12,rekenwaarden!$I$3:$I$54,rekenwaarden!$J$3:$J$54,"niet gevonden",-1)))</f>
        <v>46721</v>
      </c>
      <c r="H12" s="106">
        <f>IF(Tabel135[[#This Row],[Inkomsten-periode]]="","",DATEDIF(Geboortedatum,Tabel135[[#This Row],[DatEindTv]],"Y"))</f>
        <v>57</v>
      </c>
      <c r="I12" s="105">
        <f>IF(Tabel135[[#This Row],[Inkomsten-periode]]="","",IF(Datum_Aanvang_IKV="","",Datum_Aanvang_IKV))</f>
        <v>46174</v>
      </c>
      <c r="J12" s="105" t="str">
        <f>IF(Tabel135[[#This Row],[Inkomsten-periode]]="","",IF(Datum_Einde_IKV="","",IF(Datum_Einde_IKV&lt;=Tabel135[[#This Row],[DatEindTv]],Datum_Einde_IKV,"")))</f>
        <v/>
      </c>
      <c r="K12" s="99"/>
      <c r="L12" s="99">
        <v>13</v>
      </c>
      <c r="M12" s="99">
        <v>1</v>
      </c>
      <c r="N12" s="169">
        <v>173</v>
      </c>
      <c r="O12" s="100">
        <v>4000</v>
      </c>
      <c r="P12" s="100">
        <v>0</v>
      </c>
      <c r="Q12" s="100">
        <v>320</v>
      </c>
      <c r="R12" s="100">
        <v>0</v>
      </c>
      <c r="S12" s="100">
        <v>300</v>
      </c>
      <c r="T12" s="100">
        <v>4000</v>
      </c>
      <c r="U12" s="100"/>
      <c r="V12" s="143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Row],[OpnAvwb]],0))))</f>
        <v>4620</v>
      </c>
      <c r="W12" s="145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Row],[AantVerlU]],0))))</f>
        <v>173</v>
      </c>
      <c r="X12" s="143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Row],[OpnAvwb]],"")),"")</f>
        <v/>
      </c>
      <c r="Y12" s="145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Row],[AantVerlU]],"")),"")</f>
        <v/>
      </c>
    </row>
    <row r="13" spans="1:38" s="79" customFormat="1" ht="16.399999999999999" customHeight="1" x14ac:dyDescent="0.25">
      <c r="A13" s="86" t="s">
        <v>114</v>
      </c>
      <c r="B13" s="87"/>
      <c r="C13" s="159"/>
      <c r="D13" s="104">
        <f>IF(OR(Datum_Einde_IKV&gt;G12,Datum_Einde_IKV=""),IF(AND($B$2="Maandelijks", COUNTIF($D$1:D12, 12)=1), "",IF(OR(AND($B$2="Maandelijks", D12=12),AND($B$2="Vierwekelijks", D12=13), D12 = "Periode"), 1, D12+1)),"")</f>
        <v>12</v>
      </c>
      <c r="E13" s="104" t="str">
        <f>IF(OR(Datum_Einde_IKV="",Tabel135[[#This Row],[DatAanvTv]]&lt;Datum_Einde_IKV),IF(E12="december","",IF(Verloningsperiodiciteit="maandelijks",rekenwaarden!F14,_xlfn.CONCAT("Periode ",rekenwaarden!E14))),"")</f>
        <v>december</v>
      </c>
      <c r="F13" s="105">
        <f t="shared" si="0"/>
        <v>46722</v>
      </c>
      <c r="G13" s="105">
        <f>IF(F13="", "", IF(Verloningsperiodiciteit="Vierwekelijks", _xlfn.XLOOKUP(F13,rekenwaarden!$C$3:$C$54,rekenwaarden!$D$3:$D$54,"niet gevonden",-1), _xlfn.XLOOKUP(F13,rekenwaarden!$I$3:$I$54,rekenwaarden!$J$3:$J$54,"niet gevonden",-1)))</f>
        <v>46752</v>
      </c>
      <c r="H13" s="106">
        <f>IF(Tabel135[[#This Row],[Inkomsten-periode]]="","",DATEDIF(Geboortedatum,Tabel135[[#This Row],[DatEindTv]],"Y"))</f>
        <v>57</v>
      </c>
      <c r="I13" s="105">
        <f>IF(Tabel135[[#This Row],[Inkomsten-periode]]="","",IF(Datum_Aanvang_IKV="","",Datum_Aanvang_IKV))</f>
        <v>46174</v>
      </c>
      <c r="J13" s="105" t="str">
        <f>IF(Tabel135[[#This Row],[Inkomsten-periode]]="","",IF(Datum_Einde_IKV="","",IF(Datum_Einde_IKV&lt;=Tabel135[[#This Row],[DatEindTv]],Datum_Einde_IKV,"")))</f>
        <v/>
      </c>
      <c r="K13" s="101"/>
      <c r="L13" s="101">
        <v>13</v>
      </c>
      <c r="M13" s="101">
        <v>1</v>
      </c>
      <c r="N13" s="170">
        <v>173</v>
      </c>
      <c r="O13" s="102">
        <v>6500</v>
      </c>
      <c r="P13" s="102">
        <v>0</v>
      </c>
      <c r="Q13" s="102">
        <v>320</v>
      </c>
      <c r="R13" s="102">
        <v>2500</v>
      </c>
      <c r="S13" s="102">
        <v>300</v>
      </c>
      <c r="T13" s="102">
        <v>6500</v>
      </c>
      <c r="U13" s="102"/>
      <c r="V13" s="143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Row],[OpnAvwb]],0))))</f>
        <v>4620</v>
      </c>
      <c r="W13" s="145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Row],[AantVerlU]],0))))</f>
        <v>173</v>
      </c>
      <c r="X13" s="143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Row],[OpnAvwb]],"")),"")</f>
        <v/>
      </c>
      <c r="Y13" s="145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Row],[AantVerlU]],"")),"")</f>
        <v/>
      </c>
    </row>
    <row r="14" spans="1:38" s="79" customFormat="1" ht="16.399999999999999" customHeight="1" x14ac:dyDescent="0.25">
      <c r="A14" s="86" t="s">
        <v>115</v>
      </c>
      <c r="B14" s="87"/>
      <c r="C14" s="159"/>
      <c r="D14" s="103" t="str">
        <f>IF(OR(Datum_Einde_IKV&gt;G13,Datum_Einde_IKV=""),IF(AND($B$2="Maandelijks", COUNTIF($D$1:D13, 12)=1), "",IF(OR(AND($B$2="Maandelijks", D13=12),AND($B$2="Vierwekelijks", D13=13), D13 = "Periode"), 1, D13+1)),"")</f>
        <v/>
      </c>
      <c r="E14" s="104" t="str">
        <f>IF(OR(Datum_Einde_IKV="",Tabel135[[#This Row],[DatAanvTv]]&lt;Datum_Einde_IKV),IF(E13="december","",IF(Verloningsperiodiciteit="maandelijks",rekenwaarden!F15,_xlfn.CONCAT("Periode ",rekenwaarden!E15))),"")</f>
        <v/>
      </c>
      <c r="F14" s="105" t="str">
        <f t="shared" si="0"/>
        <v/>
      </c>
      <c r="G14" s="105" t="str">
        <f>IF(F14="", "", IF(Verloningsperiodiciteit="Vierwekelijks", _xlfn.XLOOKUP(F14,rekenwaarden!$C$3:$C$54,rekenwaarden!$D$3:$D$54,"niet gevonden",-1), _xlfn.XLOOKUP(F14,rekenwaarden!$I$3:$I$54,rekenwaarden!$J$3:$J$54,"niet gevonden",-1)))</f>
        <v/>
      </c>
      <c r="H14" s="106" t="str">
        <f>IF(Tabel135[[#This Row],[Inkomsten-periode]]="","",DATEDIF(Geboortedatum,Tabel135[[#This Row],[DatEindTv]],"Y"))</f>
        <v/>
      </c>
      <c r="I14" s="105" t="str">
        <f>IF(Tabel135[[#This Row],[Inkomsten-periode]]="","",IF(Datum_Aanvang_IKV="","",Datum_Aanvang_IKV))</f>
        <v/>
      </c>
      <c r="J14" s="105" t="str">
        <f>IF(Tabel135[[#This Row],[Inkomsten-periode]]="","",IF(Datum_Einde_IKV="","",IF(Datum_Einde_IKV&lt;=Tabel135[[#This Row],[DatEindTv]],Datum_Einde_IKV,"")))</f>
        <v/>
      </c>
      <c r="K14" s="99"/>
      <c r="L14" s="99"/>
      <c r="M14" s="99"/>
      <c r="N14" s="169"/>
      <c r="O14" s="100"/>
      <c r="P14" s="100"/>
      <c r="Q14" s="100"/>
      <c r="R14" s="100"/>
      <c r="S14" s="100"/>
      <c r="T14" s="100"/>
      <c r="U14" s="100"/>
      <c r="V14" s="143" t="str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Row],[OpnAvwb]],0))))</f>
        <v/>
      </c>
      <c r="W14" s="146" t="str">
        <f>IF(Tabel135[[#This Row],[Inkomsten-periode]]="","",IF(OR(Tabel135[[#This Row],[Leeftijd]]&lt;18,Tabel135[[#This Row],[Leeftijd]]&gt;=68),0,IF(Tabel135[[#This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Row],[AantVerlU]],0))))</f>
        <v/>
      </c>
      <c r="X14" s="143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Row],[LnInGld]]+Tabel135[[#This Row],[OpgRchtVakBsl]]-Tabel135[[#This Row],[VakBsl]]+Tabel135[[#This Row],[OpbAvwb]]-Tabel135[[#This Row],[OpnAvwb]],"")),"")</f>
        <v/>
      </c>
      <c r="Y14" s="146" t="str">
        <f>IF(Tabel135[[#This Row],[Inkomsten-periode]]="",IF(Tabel135[[#This Row],[CdRdnEindArbov]]=33,0,IF(AND(OR(Tabel135[[#This Row],[SrtIV]]=13,Tabel135[[#This Row],[SrtIV]]=15,Tabel135[[#This Row],[SrtIV]]=31),OR(Tabel135[[#This Row],[CdAard]]=1,Tabel135[[#This Row],[CdAard]]=11,Tabel135[[#This Row],[CdAard]]=82,Tabel135[[#This Row],[CdAard]]=83)),Tabel135[[#This Row],[AantVerlU]],"")),"")</f>
        <v/>
      </c>
    </row>
    <row r="15" spans="1:38" ht="13" thickBot="1" x14ac:dyDescent="0.3">
      <c r="A15" s="88" t="s">
        <v>116</v>
      </c>
      <c r="B15" s="89"/>
      <c r="C15" s="164"/>
      <c r="D15" s="164"/>
      <c r="E15" s="165"/>
      <c r="F15" s="165"/>
      <c r="G15" s="165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</row>
    <row r="16" spans="1:38" ht="14.5" x14ac:dyDescent="0.35">
      <c r="A16" s="88" t="s">
        <v>117</v>
      </c>
      <c r="B16" s="89"/>
      <c r="C16" s="164"/>
      <c r="D16" s="136"/>
      <c r="E16" s="137"/>
      <c r="F16" s="137"/>
      <c r="G16" s="167"/>
      <c r="H16" s="168"/>
      <c r="I16" s="167" t="s">
        <v>65</v>
      </c>
      <c r="J16" s="166" t="s">
        <v>66</v>
      </c>
      <c r="K16" s="158"/>
      <c r="L16" s="155"/>
      <c r="M16" s="138"/>
      <c r="N16" s="138"/>
      <c r="O16" s="138"/>
      <c r="P16" s="139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40" t="s">
        <v>29</v>
      </c>
      <c r="AE16" s="140"/>
      <c r="AF16" s="140" t="s">
        <v>30</v>
      </c>
      <c r="AG16" s="140"/>
      <c r="AH16" s="140" t="s">
        <v>31</v>
      </c>
      <c r="AI16" s="140" t="s">
        <v>32</v>
      </c>
      <c r="AJ16" s="140" t="s">
        <v>33</v>
      </c>
      <c r="AK16" s="140" t="s">
        <v>67</v>
      </c>
      <c r="AL16" s="141" t="s">
        <v>35</v>
      </c>
    </row>
    <row r="17" spans="1:38" ht="26" x14ac:dyDescent="0.25">
      <c r="A17" s="88" t="s">
        <v>118</v>
      </c>
      <c r="B17" s="89"/>
      <c r="C17" s="164"/>
      <c r="D17" s="176" t="s">
        <v>1</v>
      </c>
      <c r="E17" s="177"/>
      <c r="F17" s="107" t="s">
        <v>36</v>
      </c>
      <c r="G17" s="157" t="s">
        <v>37</v>
      </c>
      <c r="H17" s="154" t="s">
        <v>68</v>
      </c>
      <c r="I17" s="153" t="s">
        <v>18</v>
      </c>
      <c r="J17" s="154" t="s">
        <v>68</v>
      </c>
      <c r="K17" s="153" t="s">
        <v>18</v>
      </c>
      <c r="L17" s="156" t="s">
        <v>39</v>
      </c>
      <c r="M17" s="108" t="s">
        <v>40</v>
      </c>
      <c r="N17" s="108" t="s">
        <v>37</v>
      </c>
      <c r="O17" s="107" t="s">
        <v>41</v>
      </c>
      <c r="P17" s="107" t="s">
        <v>42</v>
      </c>
      <c r="Q17" s="107" t="s">
        <v>43</v>
      </c>
      <c r="R17" s="107" t="s">
        <v>44</v>
      </c>
      <c r="S17" s="108" t="s">
        <v>45</v>
      </c>
      <c r="T17" s="108" t="s">
        <v>46</v>
      </c>
      <c r="U17" s="108" t="s">
        <v>47</v>
      </c>
      <c r="V17" s="108" t="s">
        <v>48</v>
      </c>
      <c r="W17" s="108" t="s">
        <v>49</v>
      </c>
      <c r="X17" s="108" t="s">
        <v>50</v>
      </c>
      <c r="Y17" s="108" t="s">
        <v>51</v>
      </c>
      <c r="Z17" s="108" t="s">
        <v>52</v>
      </c>
      <c r="AA17" s="108" t="s">
        <v>53</v>
      </c>
      <c r="AB17" s="108" t="s">
        <v>54</v>
      </c>
      <c r="AC17" s="108" t="s">
        <v>55</v>
      </c>
      <c r="AD17" s="108" t="s">
        <v>56</v>
      </c>
      <c r="AE17" s="108" t="s">
        <v>57</v>
      </c>
      <c r="AF17" s="108" t="s">
        <v>56</v>
      </c>
      <c r="AG17" s="108" t="s">
        <v>57</v>
      </c>
      <c r="AH17" s="108" t="s">
        <v>58</v>
      </c>
      <c r="AI17" s="108" t="s">
        <v>58</v>
      </c>
      <c r="AJ17" s="108" t="s">
        <v>58</v>
      </c>
      <c r="AK17" s="108" t="s">
        <v>58</v>
      </c>
      <c r="AL17" s="121" t="s">
        <v>58</v>
      </c>
    </row>
    <row r="18" spans="1:38" s="79" customFormat="1" ht="15.65" customHeight="1" x14ac:dyDescent="0.25">
      <c r="A18" s="86" t="s">
        <v>119</v>
      </c>
      <c r="B18" s="87"/>
      <c r="C18" s="159"/>
      <c r="D18" s="122">
        <f>D2</f>
        <v>1</v>
      </c>
      <c r="E18" s="109" t="str">
        <f>E2</f>
        <v>januari</v>
      </c>
      <c r="F18" s="110">
        <f>F2</f>
        <v>46388</v>
      </c>
      <c r="G18" s="110">
        <f>G2</f>
        <v>46418</v>
      </c>
      <c r="H18" s="147">
        <f t="shared" ref="H18:H30" si="1">IF(AND(W2="",Y2=""),"",MAX(W2,Y2))</f>
        <v>173</v>
      </c>
      <c r="I18" s="150">
        <f t="shared" ref="I18:I30" si="2">IF(AND(V2="",X2=""),"",MAX(V2,X2))</f>
        <v>4620</v>
      </c>
      <c r="J18" s="147">
        <f>IF($E18="","",IF($E19="",SUM(H18:H$30),H18))</f>
        <v>173</v>
      </c>
      <c r="K18" s="150">
        <f>IF($E18="","",IF($E19="",SUM(I18:I$30),I18))</f>
        <v>4620</v>
      </c>
      <c r="L18" s="111">
        <f t="shared" ref="L18:L30" si="3">IF(E18="","",Normuren_per_week)</f>
        <v>40</v>
      </c>
      <c r="M18" s="110">
        <f t="shared" ref="M18:M30" si="4">IF(OR(MAX($B$4, F18)&gt;G18, MIN(Datum_Einde_IKV, G18)&lt;F18),"", MAX(Datum_Aanvang_IKV, F18))</f>
        <v>46388</v>
      </c>
      <c r="N18" s="110">
        <f t="shared" ref="N18:N30" si="5">IF(OR(MAX(Datum_Aanvang_IKV, F18)&gt;G18, MIN(Datum_Einde_IKV, G18)&lt;F18),"", MIN(Datum_Einde_IKV, G18))</f>
        <v>46418</v>
      </c>
      <c r="O18" s="109">
        <f>IF(M18="","",N18-M18+1)</f>
        <v>31</v>
      </c>
      <c r="P18" s="112">
        <f>IF(M18="", "",  O18 / (G18-F18+1))</f>
        <v>1</v>
      </c>
      <c r="Q18" s="113">
        <f t="shared" ref="Q18:Q30" si="6">IF(M18="","",P18/IF(Verloningsperiodiciteit= "Maandelijks",12,13))</f>
        <v>8.3333333333333329E-2</v>
      </c>
      <c r="R18" s="114">
        <f t="shared" ref="R18:R30" si="7">IF(M18="","",L18*52/IF(Verloningsperiodiciteit="Maandelijks",12,13)*P18)</f>
        <v>173.33333333333334</v>
      </c>
      <c r="S18" s="115">
        <f t="shared" ref="S18:S30" si="8">IF(M18="","",MIN(K18+IF(AND(D18&lt;&gt;1, S17&lt;&gt;""),S17,0)))</f>
        <v>4620</v>
      </c>
      <c r="T18" s="116">
        <f t="shared" ref="T18:T30" si="9">IF(M18="","",J18+IF(AND(D18&lt;&gt;1, T17&lt;&gt;""),T17,0))</f>
        <v>173</v>
      </c>
      <c r="U18" s="116">
        <f t="shared" ref="U18:U30" si="10">IF(M18="","",R18+IF(AND(D18&lt;&gt;1, U17&lt;&gt;""),U17,0))</f>
        <v>173.33333333333334</v>
      </c>
      <c r="V18" s="117">
        <f>IF(M18="",0,T18/U18)</f>
        <v>0.99807692307692297</v>
      </c>
      <c r="W18" s="118">
        <f>IF(M18="","",VLOOKUP($B$6,rekenwaarden!M$8:N$12,2))</f>
        <v>8.31</v>
      </c>
      <c r="X18" s="119">
        <f t="shared" ref="X18:X30" si="11">IF(M18="","",W18*J18)</f>
        <v>1437.63</v>
      </c>
      <c r="Y18" s="119">
        <f t="shared" ref="Y18:Y30" si="12">IF(M18="","",X18+IF(AND(D18&lt;&gt;1, Y17&lt;&gt;""),Y17,0))</f>
        <v>1437.63</v>
      </c>
      <c r="Z18" s="119">
        <f>IF(M18="","", VLOOKUP(B$6,rekenwaarden!M$8:T$12,3)*Q18)</f>
        <v>6617.4166666666661</v>
      </c>
      <c r="AA18" s="119">
        <f t="shared" ref="AA18:AA30" si="13">IF(M18="","",Z18+IF(AND(D18&lt;&gt;1, AA17&lt;&gt;""),AA17,0))</f>
        <v>6617.4166666666661</v>
      </c>
      <c r="AB18" s="119">
        <f>IF(M18="","", VLOOKUP($B$6,rekenwaarden!M$8:T$12,4)*Q18)</f>
        <v>11483.333333333332</v>
      </c>
      <c r="AC18" s="119">
        <f t="shared" ref="AC18:AC30" si="14">IF(M18="","",AB18+IF(AND(D18&lt;&gt;1, AC17&lt;&gt;""),AC17,0))</f>
        <v>11483.333333333332</v>
      </c>
      <c r="AD18" s="119">
        <f t="shared" ref="AD18:AD30" si="15">IF(M18="", "", MAX(MIN(S18, AA18*MIN(1, V18))-Y18, 0))</f>
        <v>3182.37</v>
      </c>
      <c r="AE18" s="119">
        <f t="shared" ref="AE18:AE30" si="16">IF(M18="","",AD18-IF(AND(D18&lt;&gt;1, AD17&lt;&gt;""),AD17,0))</f>
        <v>3182.37</v>
      </c>
      <c r="AF18" s="119">
        <f>IF(OR($B$8="ONWAAR", M18=""), "", MAX(MIN(S18, AC18*MIN(1, V18))-AA18*MIN(1, V18), 0))</f>
        <v>0</v>
      </c>
      <c r="AG18" s="119">
        <f t="shared" ref="AG18:AG30" si="17">IF(OR(M18="", AF18=""),"",AF18-IF(AND(D18&lt;&gt;1, AF17&lt;&gt;""),AF17,0))</f>
        <v>0</v>
      </c>
      <c r="AH18" s="120">
        <f t="shared" ref="AH18:AH30" ca="1" si="18">IF($M18="", "", AE18*INDIRECT(CONCATENATE("premiepct", YEAR(F18))))</f>
        <v>945.16388999999992</v>
      </c>
      <c r="AI18" s="120">
        <f ca="1">IF(OR($F$4=FALSE, M18=""), "", AG18*INDIRECT(CONCATENATE("premiepct", YEAR($F18))))</f>
        <v>0</v>
      </c>
      <c r="AJ18" s="120"/>
      <c r="AK18" s="120"/>
      <c r="AL18" s="123">
        <f ca="1">IF(M18="","",SUM(AH18:AK18))</f>
        <v>945.16388999999992</v>
      </c>
    </row>
    <row r="19" spans="1:38" s="79" customFormat="1" ht="15.65" customHeight="1" x14ac:dyDescent="0.25">
      <c r="A19" s="86"/>
      <c r="B19" s="87"/>
      <c r="C19" s="159"/>
      <c r="D19" s="122">
        <f t="shared" ref="D19:G30" si="19">D3</f>
        <v>2</v>
      </c>
      <c r="E19" s="109" t="str">
        <f t="shared" si="19"/>
        <v>februari</v>
      </c>
      <c r="F19" s="110">
        <f t="shared" si="19"/>
        <v>46419</v>
      </c>
      <c r="G19" s="110">
        <f t="shared" si="19"/>
        <v>46446</v>
      </c>
      <c r="H19" s="148">
        <f t="shared" si="1"/>
        <v>173</v>
      </c>
      <c r="I19" s="151">
        <f t="shared" si="2"/>
        <v>4620</v>
      </c>
      <c r="J19" s="148">
        <f>IF($E19="","",IF($E20="",SUM(H19:H$30),H19))</f>
        <v>173</v>
      </c>
      <c r="K19" s="151">
        <f>IF($E19="","",IF($E20="",SUM(I19:I$30),I19))</f>
        <v>4620</v>
      </c>
      <c r="L19" s="111">
        <f t="shared" si="3"/>
        <v>40</v>
      </c>
      <c r="M19" s="110">
        <f t="shared" si="4"/>
        <v>46419</v>
      </c>
      <c r="N19" s="110">
        <f t="shared" si="5"/>
        <v>46446</v>
      </c>
      <c r="O19" s="109">
        <f t="shared" ref="O19:O29" si="20">IF(M19="","",N19-M19+1)</f>
        <v>28</v>
      </c>
      <c r="P19" s="112">
        <f t="shared" ref="P19:P30" si="21">IF(M19="", "",  O19 / (G19-F19+1))</f>
        <v>1</v>
      </c>
      <c r="Q19" s="113">
        <f t="shared" si="6"/>
        <v>8.3333333333333329E-2</v>
      </c>
      <c r="R19" s="114">
        <f t="shared" si="7"/>
        <v>173.33333333333334</v>
      </c>
      <c r="S19" s="115">
        <f t="shared" si="8"/>
        <v>9240</v>
      </c>
      <c r="T19" s="116">
        <f t="shared" si="9"/>
        <v>346</v>
      </c>
      <c r="U19" s="116">
        <f t="shared" si="10"/>
        <v>346.66666666666669</v>
      </c>
      <c r="V19" s="117">
        <f t="shared" ref="V19:V30" si="22">IF(M19="","",T19/U19)</f>
        <v>0.99807692307692297</v>
      </c>
      <c r="W19" s="118">
        <f>IF(M19="","",VLOOKUP($B$6,rekenwaarden!M$8:N$12,2))</f>
        <v>8.31</v>
      </c>
      <c r="X19" s="119">
        <f t="shared" si="11"/>
        <v>1437.63</v>
      </c>
      <c r="Y19" s="119">
        <f t="shared" si="12"/>
        <v>2875.26</v>
      </c>
      <c r="Z19" s="119">
        <f>IF(M19="","", VLOOKUP(B$6,rekenwaarden!M$8:T$12,3)*Q19)</f>
        <v>6617.4166666666661</v>
      </c>
      <c r="AA19" s="119">
        <f t="shared" si="13"/>
        <v>13234.833333333332</v>
      </c>
      <c r="AB19" s="119">
        <f>IF(M19="","", VLOOKUP($B$6,rekenwaarden!M$8:T$12,4)*Q19)</f>
        <v>11483.333333333332</v>
      </c>
      <c r="AC19" s="119">
        <f t="shared" si="14"/>
        <v>22966.666666666664</v>
      </c>
      <c r="AD19" s="119">
        <f t="shared" si="15"/>
        <v>6364.74</v>
      </c>
      <c r="AE19" s="119">
        <f t="shared" si="16"/>
        <v>3182.37</v>
      </c>
      <c r="AF19" s="119">
        <f t="shared" ref="AF19:AF30" si="23">IF(OR($B$8="ONWAAR", M19=""), "", MAX(MIN(S19, AC19*MIN(1, V19))-AA19*MIN(1, V19), 0))</f>
        <v>0</v>
      </c>
      <c r="AG19" s="119">
        <f t="shared" si="17"/>
        <v>0</v>
      </c>
      <c r="AH19" s="120">
        <f t="shared" ca="1" si="18"/>
        <v>945.16388999999992</v>
      </c>
      <c r="AI19" s="120">
        <f t="shared" ref="AI19:AI30" ca="1" si="24">IF(OR($F$4=FALSE, M19=""), "", AG19*INDIRECT(CONCATENATE("premiepct", YEAR($F19))))</f>
        <v>0</v>
      </c>
      <c r="AJ19" s="120"/>
      <c r="AK19" s="120"/>
      <c r="AL19" s="123">
        <f t="shared" ref="AL19:AL30" ca="1" si="25">IF(M19="","",SUM(AH19:AK19))</f>
        <v>945.16388999999992</v>
      </c>
    </row>
    <row r="20" spans="1:38" s="79" customFormat="1" ht="15.65" customHeight="1" x14ac:dyDescent="0.25">
      <c r="A20" s="86"/>
      <c r="B20" s="87"/>
      <c r="C20" s="159"/>
      <c r="D20" s="122">
        <f t="shared" si="19"/>
        <v>3</v>
      </c>
      <c r="E20" s="109" t="str">
        <f t="shared" si="19"/>
        <v>maart</v>
      </c>
      <c r="F20" s="110">
        <f t="shared" si="19"/>
        <v>46447</v>
      </c>
      <c r="G20" s="110">
        <f t="shared" si="19"/>
        <v>46477</v>
      </c>
      <c r="H20" s="147">
        <f t="shared" si="1"/>
        <v>173</v>
      </c>
      <c r="I20" s="150">
        <f t="shared" si="2"/>
        <v>4620</v>
      </c>
      <c r="J20" s="147">
        <f>IF($E20="","",IF($E21="",SUM(H20:H$30),H20))</f>
        <v>173</v>
      </c>
      <c r="K20" s="150">
        <f>IF($E20="","",IF($E21="",SUM(I20:I$30),I20))</f>
        <v>4620</v>
      </c>
      <c r="L20" s="111">
        <f t="shared" si="3"/>
        <v>40</v>
      </c>
      <c r="M20" s="110">
        <f t="shared" si="4"/>
        <v>46447</v>
      </c>
      <c r="N20" s="110">
        <f t="shared" si="5"/>
        <v>46477</v>
      </c>
      <c r="O20" s="109">
        <f t="shared" si="20"/>
        <v>31</v>
      </c>
      <c r="P20" s="112">
        <f t="shared" si="21"/>
        <v>1</v>
      </c>
      <c r="Q20" s="113">
        <f t="shared" si="6"/>
        <v>8.3333333333333329E-2</v>
      </c>
      <c r="R20" s="114">
        <f t="shared" si="7"/>
        <v>173.33333333333334</v>
      </c>
      <c r="S20" s="115">
        <f t="shared" si="8"/>
        <v>13860</v>
      </c>
      <c r="T20" s="116">
        <f t="shared" si="9"/>
        <v>519</v>
      </c>
      <c r="U20" s="116">
        <f t="shared" si="10"/>
        <v>520</v>
      </c>
      <c r="V20" s="117">
        <f t="shared" si="22"/>
        <v>0.99807692307692308</v>
      </c>
      <c r="W20" s="118">
        <f>IF(M20="","",VLOOKUP($B$6,rekenwaarden!M$8:N$12,2))</f>
        <v>8.31</v>
      </c>
      <c r="X20" s="119">
        <f t="shared" si="11"/>
        <v>1437.63</v>
      </c>
      <c r="Y20" s="119">
        <f t="shared" si="12"/>
        <v>4312.8900000000003</v>
      </c>
      <c r="Z20" s="119">
        <f>IF(M20="","", VLOOKUP(B$6,rekenwaarden!M$8:T$12,3)*Q20)</f>
        <v>6617.4166666666661</v>
      </c>
      <c r="AA20" s="119">
        <f t="shared" si="13"/>
        <v>19852.25</v>
      </c>
      <c r="AB20" s="119">
        <f>IF(M20="","", VLOOKUP($B$6,rekenwaarden!M$8:T$12,4)*Q20)</f>
        <v>11483.333333333332</v>
      </c>
      <c r="AC20" s="119">
        <f t="shared" si="14"/>
        <v>34450</v>
      </c>
      <c r="AD20" s="119">
        <f t="shared" si="15"/>
        <v>9547.11</v>
      </c>
      <c r="AE20" s="119">
        <f t="shared" si="16"/>
        <v>3182.3700000000008</v>
      </c>
      <c r="AF20" s="119">
        <f t="shared" si="23"/>
        <v>0</v>
      </c>
      <c r="AG20" s="119">
        <f t="shared" si="17"/>
        <v>0</v>
      </c>
      <c r="AH20" s="120">
        <f t="shared" ca="1" si="18"/>
        <v>945.16389000000015</v>
      </c>
      <c r="AI20" s="120">
        <f t="shared" ca="1" si="24"/>
        <v>0</v>
      </c>
      <c r="AJ20" s="120"/>
      <c r="AK20" s="120"/>
      <c r="AL20" s="123">
        <f t="shared" ca="1" si="25"/>
        <v>945.16389000000015</v>
      </c>
    </row>
    <row r="21" spans="1:38" s="79" customFormat="1" ht="15.65" customHeight="1" x14ac:dyDescent="0.25">
      <c r="A21" s="86"/>
      <c r="B21" s="87"/>
      <c r="C21" s="159"/>
      <c r="D21" s="122">
        <f t="shared" si="19"/>
        <v>4</v>
      </c>
      <c r="E21" s="109" t="str">
        <f t="shared" si="19"/>
        <v>april</v>
      </c>
      <c r="F21" s="110">
        <f t="shared" si="19"/>
        <v>46478</v>
      </c>
      <c r="G21" s="110">
        <f t="shared" si="19"/>
        <v>46507</v>
      </c>
      <c r="H21" s="148">
        <f t="shared" si="1"/>
        <v>173</v>
      </c>
      <c r="I21" s="151">
        <f t="shared" si="2"/>
        <v>4620</v>
      </c>
      <c r="J21" s="148">
        <f>IF($E21="","",IF($E22="",SUM(H21:H$30),H21))</f>
        <v>173</v>
      </c>
      <c r="K21" s="151">
        <f>IF($E21="","",IF($E22="",SUM(I21:I$30),I21))</f>
        <v>4620</v>
      </c>
      <c r="L21" s="111">
        <f t="shared" si="3"/>
        <v>40</v>
      </c>
      <c r="M21" s="110">
        <f t="shared" si="4"/>
        <v>46478</v>
      </c>
      <c r="N21" s="110">
        <f t="shared" si="5"/>
        <v>46507</v>
      </c>
      <c r="O21" s="109">
        <f t="shared" si="20"/>
        <v>30</v>
      </c>
      <c r="P21" s="112">
        <f t="shared" si="21"/>
        <v>1</v>
      </c>
      <c r="Q21" s="113">
        <f t="shared" si="6"/>
        <v>8.3333333333333329E-2</v>
      </c>
      <c r="R21" s="114">
        <f t="shared" si="7"/>
        <v>173.33333333333334</v>
      </c>
      <c r="S21" s="115">
        <f t="shared" si="8"/>
        <v>18480</v>
      </c>
      <c r="T21" s="116">
        <f t="shared" si="9"/>
        <v>692</v>
      </c>
      <c r="U21" s="116">
        <f t="shared" si="10"/>
        <v>693.33333333333337</v>
      </c>
      <c r="V21" s="117">
        <f t="shared" si="22"/>
        <v>0.99807692307692297</v>
      </c>
      <c r="W21" s="118">
        <f>IF(M21="","",VLOOKUP($B$6,rekenwaarden!M$8:N$12,2))</f>
        <v>8.31</v>
      </c>
      <c r="X21" s="119">
        <f t="shared" si="11"/>
        <v>1437.63</v>
      </c>
      <c r="Y21" s="119">
        <f t="shared" si="12"/>
        <v>5750.52</v>
      </c>
      <c r="Z21" s="119">
        <f>IF(M21="","", VLOOKUP(B$6,rekenwaarden!M$8:T$12,3)*Q21)</f>
        <v>6617.4166666666661</v>
      </c>
      <c r="AA21" s="119">
        <f t="shared" si="13"/>
        <v>26469.666666666664</v>
      </c>
      <c r="AB21" s="119">
        <f>IF(M21="","", VLOOKUP($B$6,rekenwaarden!M$8:T$12,4)*Q21)</f>
        <v>11483.333333333332</v>
      </c>
      <c r="AC21" s="119">
        <f t="shared" si="14"/>
        <v>45933.333333333328</v>
      </c>
      <c r="AD21" s="119">
        <f t="shared" si="15"/>
        <v>12729.48</v>
      </c>
      <c r="AE21" s="119">
        <f t="shared" si="16"/>
        <v>3182.369999999999</v>
      </c>
      <c r="AF21" s="119">
        <f t="shared" si="23"/>
        <v>0</v>
      </c>
      <c r="AG21" s="119">
        <f t="shared" si="17"/>
        <v>0</v>
      </c>
      <c r="AH21" s="120">
        <f t="shared" ca="1" si="18"/>
        <v>945.1638899999997</v>
      </c>
      <c r="AI21" s="120">
        <f t="shared" ca="1" si="24"/>
        <v>0</v>
      </c>
      <c r="AJ21" s="120"/>
      <c r="AK21" s="120"/>
      <c r="AL21" s="123">
        <f t="shared" ca="1" si="25"/>
        <v>945.1638899999997</v>
      </c>
    </row>
    <row r="22" spans="1:38" s="79" customFormat="1" ht="15.65" customHeight="1" x14ac:dyDescent="0.25">
      <c r="A22" s="86"/>
      <c r="B22" s="87"/>
      <c r="C22" s="159"/>
      <c r="D22" s="122">
        <f t="shared" si="19"/>
        <v>5</v>
      </c>
      <c r="E22" s="109" t="str">
        <f t="shared" si="19"/>
        <v>mei</v>
      </c>
      <c r="F22" s="110">
        <f t="shared" si="19"/>
        <v>46508</v>
      </c>
      <c r="G22" s="110">
        <f t="shared" si="19"/>
        <v>46538</v>
      </c>
      <c r="H22" s="147">
        <f t="shared" si="1"/>
        <v>173</v>
      </c>
      <c r="I22" s="150">
        <f t="shared" si="2"/>
        <v>4620</v>
      </c>
      <c r="J22" s="147">
        <f>IF($E22="","",IF($E23="",SUM(H22:H$30),H22))</f>
        <v>173</v>
      </c>
      <c r="K22" s="150">
        <f>IF($E22="","",IF($E23="",SUM(I22:I$30),I22))</f>
        <v>4620</v>
      </c>
      <c r="L22" s="111">
        <f t="shared" si="3"/>
        <v>40</v>
      </c>
      <c r="M22" s="110">
        <f t="shared" si="4"/>
        <v>46508</v>
      </c>
      <c r="N22" s="110">
        <f t="shared" si="5"/>
        <v>46538</v>
      </c>
      <c r="O22" s="109">
        <f t="shared" si="20"/>
        <v>31</v>
      </c>
      <c r="P22" s="112">
        <f t="shared" si="21"/>
        <v>1</v>
      </c>
      <c r="Q22" s="113">
        <f t="shared" si="6"/>
        <v>8.3333333333333329E-2</v>
      </c>
      <c r="R22" s="114">
        <f t="shared" si="7"/>
        <v>173.33333333333334</v>
      </c>
      <c r="S22" s="115">
        <f t="shared" si="8"/>
        <v>23100</v>
      </c>
      <c r="T22" s="116">
        <f t="shared" si="9"/>
        <v>865</v>
      </c>
      <c r="U22" s="116">
        <f t="shared" si="10"/>
        <v>866.66666666666674</v>
      </c>
      <c r="V22" s="117">
        <f t="shared" si="22"/>
        <v>0.99807692307692297</v>
      </c>
      <c r="W22" s="118">
        <f>IF(M22="","",VLOOKUP($B$6,rekenwaarden!M$8:N$12,2))</f>
        <v>8.31</v>
      </c>
      <c r="X22" s="119">
        <f t="shared" si="11"/>
        <v>1437.63</v>
      </c>
      <c r="Y22" s="119">
        <f t="shared" si="12"/>
        <v>7188.1500000000005</v>
      </c>
      <c r="Z22" s="119">
        <f>IF(M22="","", VLOOKUP(B$6,rekenwaarden!M$8:T$12,3)*Q22)</f>
        <v>6617.4166666666661</v>
      </c>
      <c r="AA22" s="119">
        <f t="shared" si="13"/>
        <v>33087.083333333328</v>
      </c>
      <c r="AB22" s="119">
        <f>IF(M22="","", VLOOKUP($B$6,rekenwaarden!M$8:T$12,4)*Q22)</f>
        <v>11483.333333333332</v>
      </c>
      <c r="AC22" s="119">
        <f t="shared" si="14"/>
        <v>57416.666666666657</v>
      </c>
      <c r="AD22" s="119">
        <f t="shared" si="15"/>
        <v>15911.849999999999</v>
      </c>
      <c r="AE22" s="119">
        <f t="shared" si="16"/>
        <v>3182.369999999999</v>
      </c>
      <c r="AF22" s="119">
        <f t="shared" si="23"/>
        <v>0</v>
      </c>
      <c r="AG22" s="119">
        <f t="shared" si="17"/>
        <v>0</v>
      </c>
      <c r="AH22" s="120">
        <f t="shared" ca="1" si="18"/>
        <v>945.1638899999997</v>
      </c>
      <c r="AI22" s="120">
        <f t="shared" ca="1" si="24"/>
        <v>0</v>
      </c>
      <c r="AJ22" s="120"/>
      <c r="AK22" s="120"/>
      <c r="AL22" s="123">
        <f t="shared" ca="1" si="25"/>
        <v>945.1638899999997</v>
      </c>
    </row>
    <row r="23" spans="1:38" s="79" customFormat="1" ht="15.65" customHeight="1" x14ac:dyDescent="0.25">
      <c r="A23" s="86"/>
      <c r="B23" s="87"/>
      <c r="C23" s="159"/>
      <c r="D23" s="122">
        <f t="shared" si="19"/>
        <v>6</v>
      </c>
      <c r="E23" s="109" t="str">
        <f t="shared" si="19"/>
        <v>juni</v>
      </c>
      <c r="F23" s="110">
        <f t="shared" si="19"/>
        <v>46539</v>
      </c>
      <c r="G23" s="110">
        <f t="shared" si="19"/>
        <v>46568</v>
      </c>
      <c r="H23" s="148">
        <f t="shared" si="1"/>
        <v>173</v>
      </c>
      <c r="I23" s="151">
        <f t="shared" si="2"/>
        <v>4620</v>
      </c>
      <c r="J23" s="148">
        <f>IF($E23="","",IF($E24="",SUM(H23:H$30),H23))</f>
        <v>173</v>
      </c>
      <c r="K23" s="151">
        <f>IF($E23="","",IF($E24="",SUM(I23:I$30),I23))</f>
        <v>4620</v>
      </c>
      <c r="L23" s="111">
        <f t="shared" si="3"/>
        <v>40</v>
      </c>
      <c r="M23" s="110">
        <f t="shared" si="4"/>
        <v>46539</v>
      </c>
      <c r="N23" s="110">
        <f t="shared" si="5"/>
        <v>46568</v>
      </c>
      <c r="O23" s="109">
        <f t="shared" si="20"/>
        <v>30</v>
      </c>
      <c r="P23" s="112">
        <f t="shared" si="21"/>
        <v>1</v>
      </c>
      <c r="Q23" s="113">
        <f t="shared" si="6"/>
        <v>8.3333333333333329E-2</v>
      </c>
      <c r="R23" s="114">
        <f t="shared" si="7"/>
        <v>173.33333333333334</v>
      </c>
      <c r="S23" s="115">
        <f t="shared" si="8"/>
        <v>27720</v>
      </c>
      <c r="T23" s="116">
        <f t="shared" si="9"/>
        <v>1038</v>
      </c>
      <c r="U23" s="116">
        <f t="shared" si="10"/>
        <v>1040</v>
      </c>
      <c r="V23" s="117">
        <f t="shared" si="22"/>
        <v>0.99807692307692308</v>
      </c>
      <c r="W23" s="118">
        <f>IF(M23="","",VLOOKUP($B$6,rekenwaarden!M$8:N$12,2))</f>
        <v>8.31</v>
      </c>
      <c r="X23" s="119">
        <f t="shared" si="11"/>
        <v>1437.63</v>
      </c>
      <c r="Y23" s="119">
        <f t="shared" si="12"/>
        <v>8625.7800000000007</v>
      </c>
      <c r="Z23" s="119">
        <f>IF(M23="","", VLOOKUP(B$6,rekenwaarden!M$8:T$12,3)*Q23)</f>
        <v>6617.4166666666661</v>
      </c>
      <c r="AA23" s="119">
        <f t="shared" si="13"/>
        <v>39704.499999999993</v>
      </c>
      <c r="AB23" s="119">
        <f>IF(M23="","", VLOOKUP($B$6,rekenwaarden!M$8:T$12,4)*Q23)</f>
        <v>11483.333333333332</v>
      </c>
      <c r="AC23" s="119">
        <f t="shared" si="14"/>
        <v>68899.999999999985</v>
      </c>
      <c r="AD23" s="119">
        <f t="shared" si="15"/>
        <v>19094.22</v>
      </c>
      <c r="AE23" s="119">
        <f t="shared" si="16"/>
        <v>3182.3700000000026</v>
      </c>
      <c r="AF23" s="119">
        <f t="shared" si="23"/>
        <v>0</v>
      </c>
      <c r="AG23" s="119">
        <f t="shared" si="17"/>
        <v>0</v>
      </c>
      <c r="AH23" s="120">
        <f t="shared" ca="1" si="18"/>
        <v>945.16389000000072</v>
      </c>
      <c r="AI23" s="120">
        <f t="shared" ca="1" si="24"/>
        <v>0</v>
      </c>
      <c r="AJ23" s="120"/>
      <c r="AK23" s="120"/>
      <c r="AL23" s="123">
        <f t="shared" ca="1" si="25"/>
        <v>945.16389000000072</v>
      </c>
    </row>
    <row r="24" spans="1:38" s="79" customFormat="1" ht="15.65" customHeight="1" x14ac:dyDescent="0.25">
      <c r="A24" s="86"/>
      <c r="B24" s="87"/>
      <c r="C24" s="159"/>
      <c r="D24" s="122">
        <f t="shared" si="19"/>
        <v>7</v>
      </c>
      <c r="E24" s="109" t="str">
        <f t="shared" si="19"/>
        <v>juli</v>
      </c>
      <c r="F24" s="110">
        <f t="shared" si="19"/>
        <v>46569</v>
      </c>
      <c r="G24" s="110">
        <f t="shared" si="19"/>
        <v>46599</v>
      </c>
      <c r="H24" s="147">
        <f t="shared" si="1"/>
        <v>173</v>
      </c>
      <c r="I24" s="150">
        <f t="shared" si="2"/>
        <v>4620</v>
      </c>
      <c r="J24" s="147">
        <f>IF($E24="","",IF($E25="",SUM(H24:H$30),H24))</f>
        <v>173</v>
      </c>
      <c r="K24" s="150">
        <f>IF($E24="","",IF($E25="",SUM(I24:I$30),I24))</f>
        <v>4620</v>
      </c>
      <c r="L24" s="111">
        <f t="shared" si="3"/>
        <v>40</v>
      </c>
      <c r="M24" s="110">
        <f t="shared" si="4"/>
        <v>46569</v>
      </c>
      <c r="N24" s="110">
        <f t="shared" si="5"/>
        <v>46599</v>
      </c>
      <c r="O24" s="109">
        <f t="shared" si="20"/>
        <v>31</v>
      </c>
      <c r="P24" s="112">
        <f t="shared" si="21"/>
        <v>1</v>
      </c>
      <c r="Q24" s="113">
        <f t="shared" si="6"/>
        <v>8.3333333333333329E-2</v>
      </c>
      <c r="R24" s="114">
        <f t="shared" si="7"/>
        <v>173.33333333333334</v>
      </c>
      <c r="S24" s="115">
        <f t="shared" si="8"/>
        <v>32340</v>
      </c>
      <c r="T24" s="116">
        <f t="shared" si="9"/>
        <v>1211</v>
      </c>
      <c r="U24" s="116">
        <f t="shared" si="10"/>
        <v>1213.3333333333333</v>
      </c>
      <c r="V24" s="117">
        <f t="shared" si="22"/>
        <v>0.99807692307692319</v>
      </c>
      <c r="W24" s="118">
        <f>IF(M24="","",VLOOKUP($B$6,rekenwaarden!M$8:N$12,2))</f>
        <v>8.31</v>
      </c>
      <c r="X24" s="119">
        <f t="shared" si="11"/>
        <v>1437.63</v>
      </c>
      <c r="Y24" s="119">
        <f t="shared" si="12"/>
        <v>10063.41</v>
      </c>
      <c r="Z24" s="119">
        <f>IF(M24="","", VLOOKUP(B$6,rekenwaarden!M$8:T$12,3)*Q24)</f>
        <v>6617.4166666666661</v>
      </c>
      <c r="AA24" s="119">
        <f t="shared" si="13"/>
        <v>46321.916666666657</v>
      </c>
      <c r="AB24" s="119">
        <f>IF(M24="","", VLOOKUP($B$6,rekenwaarden!M$8:T$12,4)*Q24)</f>
        <v>11483.333333333332</v>
      </c>
      <c r="AC24" s="119">
        <f t="shared" si="14"/>
        <v>80383.333333333314</v>
      </c>
      <c r="AD24" s="119">
        <f t="shared" si="15"/>
        <v>22276.59</v>
      </c>
      <c r="AE24" s="119">
        <f t="shared" si="16"/>
        <v>3182.369999999999</v>
      </c>
      <c r="AF24" s="119">
        <f t="shared" si="23"/>
        <v>0</v>
      </c>
      <c r="AG24" s="119">
        <f t="shared" si="17"/>
        <v>0</v>
      </c>
      <c r="AH24" s="120">
        <f t="shared" ca="1" si="18"/>
        <v>945.1638899999997</v>
      </c>
      <c r="AI24" s="120">
        <f t="shared" ca="1" si="24"/>
        <v>0</v>
      </c>
      <c r="AJ24" s="120"/>
      <c r="AK24" s="120"/>
      <c r="AL24" s="123">
        <f t="shared" ca="1" si="25"/>
        <v>945.1638899999997</v>
      </c>
    </row>
    <row r="25" spans="1:38" s="79" customFormat="1" ht="15.65" customHeight="1" x14ac:dyDescent="0.25">
      <c r="A25" s="86"/>
      <c r="B25" s="87"/>
      <c r="C25" s="159"/>
      <c r="D25" s="122">
        <f t="shared" si="19"/>
        <v>8</v>
      </c>
      <c r="E25" s="109" t="str">
        <f t="shared" si="19"/>
        <v>augustus</v>
      </c>
      <c r="F25" s="110">
        <f t="shared" si="19"/>
        <v>46600</v>
      </c>
      <c r="G25" s="110">
        <f t="shared" si="19"/>
        <v>46630</v>
      </c>
      <c r="H25" s="148">
        <f t="shared" si="1"/>
        <v>173</v>
      </c>
      <c r="I25" s="151">
        <f t="shared" si="2"/>
        <v>4620</v>
      </c>
      <c r="J25" s="148">
        <f>IF($E25="","",IF($E26="",SUM(H25:H$30),H25))</f>
        <v>173</v>
      </c>
      <c r="K25" s="151">
        <f>IF($E25="","",IF($E26="",SUM(I25:I$30),I25))</f>
        <v>4620</v>
      </c>
      <c r="L25" s="111">
        <f t="shared" si="3"/>
        <v>40</v>
      </c>
      <c r="M25" s="110">
        <f t="shared" si="4"/>
        <v>46600</v>
      </c>
      <c r="N25" s="110">
        <f t="shared" si="5"/>
        <v>46630</v>
      </c>
      <c r="O25" s="109">
        <f t="shared" si="20"/>
        <v>31</v>
      </c>
      <c r="P25" s="112">
        <f t="shared" si="21"/>
        <v>1</v>
      </c>
      <c r="Q25" s="113">
        <f t="shared" si="6"/>
        <v>8.3333333333333329E-2</v>
      </c>
      <c r="R25" s="114">
        <f t="shared" si="7"/>
        <v>173.33333333333334</v>
      </c>
      <c r="S25" s="115">
        <f t="shared" si="8"/>
        <v>36960</v>
      </c>
      <c r="T25" s="116">
        <f t="shared" si="9"/>
        <v>1384</v>
      </c>
      <c r="U25" s="116">
        <f t="shared" si="10"/>
        <v>1386.6666666666665</v>
      </c>
      <c r="V25" s="117">
        <f t="shared" si="22"/>
        <v>0.99807692307692319</v>
      </c>
      <c r="W25" s="118">
        <f>IF(M25="","",VLOOKUP($B$6,rekenwaarden!M$8:N$12,2))</f>
        <v>8.31</v>
      </c>
      <c r="X25" s="119">
        <f t="shared" si="11"/>
        <v>1437.63</v>
      </c>
      <c r="Y25" s="119">
        <f t="shared" si="12"/>
        <v>11501.04</v>
      </c>
      <c r="Z25" s="119">
        <f>IF(M25="","", VLOOKUP(B$6,rekenwaarden!M$8:T$12,3)*Q25)</f>
        <v>6617.4166666666661</v>
      </c>
      <c r="AA25" s="119">
        <f t="shared" si="13"/>
        <v>52939.333333333321</v>
      </c>
      <c r="AB25" s="119">
        <f>IF(M25="","", VLOOKUP($B$6,rekenwaarden!M$8:T$12,4)*Q25)</f>
        <v>11483.333333333332</v>
      </c>
      <c r="AC25" s="119">
        <f t="shared" si="14"/>
        <v>91866.666666666642</v>
      </c>
      <c r="AD25" s="119">
        <f t="shared" si="15"/>
        <v>25458.959999999999</v>
      </c>
      <c r="AE25" s="119">
        <f t="shared" si="16"/>
        <v>3182.369999999999</v>
      </c>
      <c r="AF25" s="119">
        <f t="shared" si="23"/>
        <v>0</v>
      </c>
      <c r="AG25" s="119">
        <f t="shared" si="17"/>
        <v>0</v>
      </c>
      <c r="AH25" s="120">
        <f t="shared" ca="1" si="18"/>
        <v>945.1638899999997</v>
      </c>
      <c r="AI25" s="120">
        <f t="shared" ca="1" si="24"/>
        <v>0</v>
      </c>
      <c r="AJ25" s="120"/>
      <c r="AK25" s="120"/>
      <c r="AL25" s="123">
        <f t="shared" ca="1" si="25"/>
        <v>945.1638899999997</v>
      </c>
    </row>
    <row r="26" spans="1:38" s="79" customFormat="1" ht="15.65" customHeight="1" x14ac:dyDescent="0.25">
      <c r="A26" s="86"/>
      <c r="B26" s="87"/>
      <c r="C26" s="159"/>
      <c r="D26" s="122">
        <f t="shared" si="19"/>
        <v>9</v>
      </c>
      <c r="E26" s="109" t="str">
        <f t="shared" si="19"/>
        <v>september</v>
      </c>
      <c r="F26" s="110">
        <f t="shared" si="19"/>
        <v>46631</v>
      </c>
      <c r="G26" s="110">
        <f t="shared" si="19"/>
        <v>46660</v>
      </c>
      <c r="H26" s="147">
        <f t="shared" si="1"/>
        <v>173</v>
      </c>
      <c r="I26" s="150">
        <f t="shared" si="2"/>
        <v>4620</v>
      </c>
      <c r="J26" s="147">
        <f>IF($E26="","",IF($E27="",SUM(H26:H$30),H26))</f>
        <v>173</v>
      </c>
      <c r="K26" s="150">
        <f>IF($E26="","",IF($E27="",SUM(I26:I$30),I26))</f>
        <v>4620</v>
      </c>
      <c r="L26" s="111">
        <f t="shared" si="3"/>
        <v>40</v>
      </c>
      <c r="M26" s="110">
        <f t="shared" si="4"/>
        <v>46631</v>
      </c>
      <c r="N26" s="110">
        <f t="shared" si="5"/>
        <v>46660</v>
      </c>
      <c r="O26" s="109">
        <f t="shared" si="20"/>
        <v>30</v>
      </c>
      <c r="P26" s="112">
        <f t="shared" si="21"/>
        <v>1</v>
      </c>
      <c r="Q26" s="113">
        <f t="shared" si="6"/>
        <v>8.3333333333333329E-2</v>
      </c>
      <c r="R26" s="114">
        <f t="shared" si="7"/>
        <v>173.33333333333334</v>
      </c>
      <c r="S26" s="115">
        <f t="shared" si="8"/>
        <v>41580</v>
      </c>
      <c r="T26" s="116">
        <f t="shared" si="9"/>
        <v>1557</v>
      </c>
      <c r="U26" s="116">
        <f t="shared" si="10"/>
        <v>1559.9999999999998</v>
      </c>
      <c r="V26" s="117">
        <f t="shared" si="22"/>
        <v>0.99807692307692319</v>
      </c>
      <c r="W26" s="118">
        <f>IF(M26="","",VLOOKUP($B$6,rekenwaarden!M$8:N$12,2))</f>
        <v>8.31</v>
      </c>
      <c r="X26" s="119">
        <f t="shared" si="11"/>
        <v>1437.63</v>
      </c>
      <c r="Y26" s="119">
        <f t="shared" si="12"/>
        <v>12938.670000000002</v>
      </c>
      <c r="Z26" s="119">
        <f>IF(M26="","", VLOOKUP(B$6,rekenwaarden!M$8:T$12,3)*Q26)</f>
        <v>6617.4166666666661</v>
      </c>
      <c r="AA26" s="119">
        <f t="shared" si="13"/>
        <v>59556.749999999985</v>
      </c>
      <c r="AB26" s="119">
        <f>IF(M26="","", VLOOKUP($B$6,rekenwaarden!M$8:T$12,4)*Q26)</f>
        <v>11483.333333333332</v>
      </c>
      <c r="AC26" s="119">
        <f t="shared" si="14"/>
        <v>103349.99999999997</v>
      </c>
      <c r="AD26" s="119">
        <f t="shared" si="15"/>
        <v>28641.329999999998</v>
      </c>
      <c r="AE26" s="119">
        <f t="shared" si="16"/>
        <v>3182.369999999999</v>
      </c>
      <c r="AF26" s="119">
        <f t="shared" si="23"/>
        <v>0</v>
      </c>
      <c r="AG26" s="119">
        <f t="shared" si="17"/>
        <v>0</v>
      </c>
      <c r="AH26" s="120">
        <f t="shared" ca="1" si="18"/>
        <v>945.1638899999997</v>
      </c>
      <c r="AI26" s="120">
        <f t="shared" ca="1" si="24"/>
        <v>0</v>
      </c>
      <c r="AJ26" s="120"/>
      <c r="AK26" s="120"/>
      <c r="AL26" s="123">
        <f t="shared" ca="1" si="25"/>
        <v>945.1638899999997</v>
      </c>
    </row>
    <row r="27" spans="1:38" s="79" customFormat="1" ht="15.65" customHeight="1" x14ac:dyDescent="0.25">
      <c r="A27" s="86"/>
      <c r="B27" s="87"/>
      <c r="C27" s="159"/>
      <c r="D27" s="122">
        <f t="shared" si="19"/>
        <v>10</v>
      </c>
      <c r="E27" s="109" t="str">
        <f t="shared" si="19"/>
        <v>oktober</v>
      </c>
      <c r="F27" s="110">
        <f t="shared" si="19"/>
        <v>46661</v>
      </c>
      <c r="G27" s="110">
        <f t="shared" si="19"/>
        <v>46691</v>
      </c>
      <c r="H27" s="148">
        <f t="shared" si="1"/>
        <v>173</v>
      </c>
      <c r="I27" s="151">
        <f t="shared" si="2"/>
        <v>4620</v>
      </c>
      <c r="J27" s="148">
        <f>IF($E27="","",IF($E28="",SUM(H27:H$30),H27))</f>
        <v>173</v>
      </c>
      <c r="K27" s="151">
        <f>IF($E27="","",IF($E28="",SUM(I27:I$30),I27))</f>
        <v>4620</v>
      </c>
      <c r="L27" s="111">
        <f t="shared" si="3"/>
        <v>40</v>
      </c>
      <c r="M27" s="110">
        <f t="shared" si="4"/>
        <v>46661</v>
      </c>
      <c r="N27" s="110">
        <f t="shared" si="5"/>
        <v>46691</v>
      </c>
      <c r="O27" s="109">
        <f t="shared" si="20"/>
        <v>31</v>
      </c>
      <c r="P27" s="112">
        <f t="shared" si="21"/>
        <v>1</v>
      </c>
      <c r="Q27" s="113">
        <f t="shared" si="6"/>
        <v>8.3333333333333329E-2</v>
      </c>
      <c r="R27" s="114">
        <f t="shared" si="7"/>
        <v>173.33333333333334</v>
      </c>
      <c r="S27" s="115">
        <f t="shared" si="8"/>
        <v>46200</v>
      </c>
      <c r="T27" s="116">
        <f t="shared" si="9"/>
        <v>1730</v>
      </c>
      <c r="U27" s="116">
        <f t="shared" si="10"/>
        <v>1733.333333333333</v>
      </c>
      <c r="V27" s="117">
        <f t="shared" si="22"/>
        <v>0.99807692307692331</v>
      </c>
      <c r="W27" s="118">
        <f>IF(M27="","",VLOOKUP($B$6,rekenwaarden!M$8:N$12,2))</f>
        <v>8.31</v>
      </c>
      <c r="X27" s="119">
        <f t="shared" si="11"/>
        <v>1437.63</v>
      </c>
      <c r="Y27" s="119">
        <f t="shared" si="12"/>
        <v>14376.300000000003</v>
      </c>
      <c r="Z27" s="119">
        <f>IF(M27="","", VLOOKUP(B$6,rekenwaarden!M$8:T$12,3)*Q27)</f>
        <v>6617.4166666666661</v>
      </c>
      <c r="AA27" s="119">
        <f t="shared" si="13"/>
        <v>66174.166666666657</v>
      </c>
      <c r="AB27" s="119">
        <f>IF(M27="","", VLOOKUP($B$6,rekenwaarden!M$8:T$12,4)*Q27)</f>
        <v>11483.333333333332</v>
      </c>
      <c r="AC27" s="119">
        <f t="shared" si="14"/>
        <v>114833.3333333333</v>
      </c>
      <c r="AD27" s="119">
        <f t="shared" si="15"/>
        <v>31823.699999999997</v>
      </c>
      <c r="AE27" s="119">
        <f t="shared" si="16"/>
        <v>3182.369999999999</v>
      </c>
      <c r="AF27" s="119">
        <f t="shared" si="23"/>
        <v>0</v>
      </c>
      <c r="AG27" s="119">
        <f t="shared" si="17"/>
        <v>0</v>
      </c>
      <c r="AH27" s="120">
        <f t="shared" ca="1" si="18"/>
        <v>945.1638899999997</v>
      </c>
      <c r="AI27" s="120">
        <f t="shared" ca="1" si="24"/>
        <v>0</v>
      </c>
      <c r="AJ27" s="120"/>
      <c r="AK27" s="120"/>
      <c r="AL27" s="123">
        <f t="shared" ca="1" si="25"/>
        <v>945.1638899999997</v>
      </c>
    </row>
    <row r="28" spans="1:38" s="79" customFormat="1" ht="15.65" customHeight="1" x14ac:dyDescent="0.25">
      <c r="A28" s="86"/>
      <c r="B28" s="87"/>
      <c r="C28" s="159"/>
      <c r="D28" s="122">
        <f t="shared" si="19"/>
        <v>11</v>
      </c>
      <c r="E28" s="109" t="str">
        <f t="shared" si="19"/>
        <v>november</v>
      </c>
      <c r="F28" s="110">
        <f t="shared" si="19"/>
        <v>46692</v>
      </c>
      <c r="G28" s="110">
        <f t="shared" si="19"/>
        <v>46721</v>
      </c>
      <c r="H28" s="147">
        <f t="shared" si="1"/>
        <v>173</v>
      </c>
      <c r="I28" s="150">
        <f t="shared" si="2"/>
        <v>4620</v>
      </c>
      <c r="J28" s="147">
        <f>IF($E28="","",IF($E29="",SUM(H28:H$30),H28))</f>
        <v>173</v>
      </c>
      <c r="K28" s="150">
        <f>IF($E28="","",IF($E29="",SUM(I28:I$30),I28))</f>
        <v>4620</v>
      </c>
      <c r="L28" s="111">
        <f t="shared" si="3"/>
        <v>40</v>
      </c>
      <c r="M28" s="110">
        <f t="shared" si="4"/>
        <v>46692</v>
      </c>
      <c r="N28" s="110">
        <f t="shared" si="5"/>
        <v>46721</v>
      </c>
      <c r="O28" s="109">
        <f t="shared" si="20"/>
        <v>30</v>
      </c>
      <c r="P28" s="112">
        <f t="shared" si="21"/>
        <v>1</v>
      </c>
      <c r="Q28" s="113">
        <f t="shared" si="6"/>
        <v>8.3333333333333329E-2</v>
      </c>
      <c r="R28" s="114">
        <f t="shared" si="7"/>
        <v>173.33333333333334</v>
      </c>
      <c r="S28" s="115">
        <f t="shared" si="8"/>
        <v>50820</v>
      </c>
      <c r="T28" s="116">
        <f t="shared" si="9"/>
        <v>1903</v>
      </c>
      <c r="U28" s="116">
        <f t="shared" si="10"/>
        <v>1906.6666666666663</v>
      </c>
      <c r="V28" s="117">
        <f t="shared" si="22"/>
        <v>0.99807692307692331</v>
      </c>
      <c r="W28" s="118">
        <f>IF(M28="","",VLOOKUP($B$6,rekenwaarden!M$8:N$12,2))</f>
        <v>8.31</v>
      </c>
      <c r="X28" s="119">
        <f t="shared" si="11"/>
        <v>1437.63</v>
      </c>
      <c r="Y28" s="119">
        <f t="shared" si="12"/>
        <v>15813.930000000004</v>
      </c>
      <c r="Z28" s="119">
        <f>IF(M28="","", VLOOKUP(B$6,rekenwaarden!M$8:T$12,3)*Q28)</f>
        <v>6617.4166666666661</v>
      </c>
      <c r="AA28" s="119">
        <f t="shared" si="13"/>
        <v>72791.583333333328</v>
      </c>
      <c r="AB28" s="119">
        <f>IF(M28="","", VLOOKUP($B$6,rekenwaarden!M$8:T$12,4)*Q28)</f>
        <v>11483.333333333332</v>
      </c>
      <c r="AC28" s="119">
        <f t="shared" si="14"/>
        <v>126316.66666666663</v>
      </c>
      <c r="AD28" s="119">
        <f t="shared" si="15"/>
        <v>35006.069999999992</v>
      </c>
      <c r="AE28" s="119">
        <f t="shared" si="16"/>
        <v>3182.3699999999953</v>
      </c>
      <c r="AF28" s="119">
        <f t="shared" si="23"/>
        <v>0</v>
      </c>
      <c r="AG28" s="119">
        <f t="shared" si="17"/>
        <v>0</v>
      </c>
      <c r="AH28" s="120">
        <f t="shared" ca="1" si="18"/>
        <v>945.16388999999856</v>
      </c>
      <c r="AI28" s="120">
        <f t="shared" ca="1" si="24"/>
        <v>0</v>
      </c>
      <c r="AJ28" s="120"/>
      <c r="AK28" s="120"/>
      <c r="AL28" s="123">
        <f t="shared" ca="1" si="25"/>
        <v>945.16388999999856</v>
      </c>
    </row>
    <row r="29" spans="1:38" s="79" customFormat="1" ht="15.65" customHeight="1" x14ac:dyDescent="0.25">
      <c r="A29" s="86"/>
      <c r="B29" s="87"/>
      <c r="C29" s="159"/>
      <c r="D29" s="122">
        <f t="shared" si="19"/>
        <v>12</v>
      </c>
      <c r="E29" s="109" t="str">
        <f t="shared" si="19"/>
        <v>december</v>
      </c>
      <c r="F29" s="110">
        <f t="shared" si="19"/>
        <v>46722</v>
      </c>
      <c r="G29" s="110">
        <f t="shared" si="19"/>
        <v>46752</v>
      </c>
      <c r="H29" s="148">
        <f t="shared" si="1"/>
        <v>173</v>
      </c>
      <c r="I29" s="151">
        <f t="shared" si="2"/>
        <v>4620</v>
      </c>
      <c r="J29" s="148">
        <f>IF($E29="","",IF($E30="",SUM(H29:H$30),H29))</f>
        <v>173</v>
      </c>
      <c r="K29" s="151">
        <f>IF($E29="","",IF($E30="",SUM(I29:I$30),I29))</f>
        <v>4620</v>
      </c>
      <c r="L29" s="111">
        <f t="shared" si="3"/>
        <v>40</v>
      </c>
      <c r="M29" s="110">
        <f t="shared" si="4"/>
        <v>46722</v>
      </c>
      <c r="N29" s="110">
        <f t="shared" si="5"/>
        <v>46752</v>
      </c>
      <c r="O29" s="109">
        <f t="shared" si="20"/>
        <v>31</v>
      </c>
      <c r="P29" s="112">
        <f t="shared" si="21"/>
        <v>1</v>
      </c>
      <c r="Q29" s="113">
        <f t="shared" si="6"/>
        <v>8.3333333333333329E-2</v>
      </c>
      <c r="R29" s="114">
        <f t="shared" si="7"/>
        <v>173.33333333333334</v>
      </c>
      <c r="S29" s="115">
        <f t="shared" si="8"/>
        <v>55440</v>
      </c>
      <c r="T29" s="116">
        <f t="shared" si="9"/>
        <v>2076</v>
      </c>
      <c r="U29" s="116">
        <f t="shared" si="10"/>
        <v>2079.9999999999995</v>
      </c>
      <c r="V29" s="117">
        <f t="shared" si="22"/>
        <v>0.99807692307692331</v>
      </c>
      <c r="W29" s="118">
        <f>IF(M29="","",VLOOKUP($B$6,rekenwaarden!M$8:N$12,2))</f>
        <v>8.31</v>
      </c>
      <c r="X29" s="119">
        <f t="shared" si="11"/>
        <v>1437.63</v>
      </c>
      <c r="Y29" s="119">
        <f t="shared" si="12"/>
        <v>17251.560000000005</v>
      </c>
      <c r="Z29" s="119">
        <f>IF(M29="","", VLOOKUP(B$6,rekenwaarden!M$8:T$12,3)*Q29)</f>
        <v>6617.4166666666661</v>
      </c>
      <c r="AA29" s="119">
        <f t="shared" si="13"/>
        <v>79409</v>
      </c>
      <c r="AB29" s="119">
        <f>IF(M29="","", VLOOKUP($B$6,rekenwaarden!M$8:T$12,4)*Q29)</f>
        <v>11483.333333333332</v>
      </c>
      <c r="AC29" s="119">
        <f t="shared" si="14"/>
        <v>137799.99999999997</v>
      </c>
      <c r="AD29" s="119">
        <f t="shared" si="15"/>
        <v>38188.439999999995</v>
      </c>
      <c r="AE29" s="119">
        <f t="shared" si="16"/>
        <v>3182.3700000000026</v>
      </c>
      <c r="AF29" s="119">
        <f t="shared" si="23"/>
        <v>0</v>
      </c>
      <c r="AG29" s="119">
        <f t="shared" si="17"/>
        <v>0</v>
      </c>
      <c r="AH29" s="120">
        <f t="shared" ca="1" si="18"/>
        <v>945.16389000000072</v>
      </c>
      <c r="AI29" s="120">
        <f t="shared" ca="1" si="24"/>
        <v>0</v>
      </c>
      <c r="AJ29" s="120"/>
      <c r="AK29" s="120"/>
      <c r="AL29" s="123">
        <f t="shared" ca="1" si="25"/>
        <v>945.16389000000072</v>
      </c>
    </row>
    <row r="30" spans="1:38" s="79" customFormat="1" ht="15.65" customHeight="1" thickBot="1" x14ac:dyDescent="0.3">
      <c r="A30" s="90"/>
      <c r="B30" s="91"/>
      <c r="C30" s="159"/>
      <c r="D30" s="124" t="str">
        <f t="shared" si="19"/>
        <v/>
      </c>
      <c r="E30" s="125" t="str">
        <f t="shared" si="19"/>
        <v/>
      </c>
      <c r="F30" s="126" t="str">
        <f t="shared" si="19"/>
        <v/>
      </c>
      <c r="G30" s="126" t="str">
        <f t="shared" si="19"/>
        <v/>
      </c>
      <c r="H30" s="149" t="str">
        <f t="shared" si="1"/>
        <v/>
      </c>
      <c r="I30" s="152" t="str">
        <f t="shared" si="2"/>
        <v/>
      </c>
      <c r="J30" s="149" t="str">
        <f>IF($E30="","",IF($E31="",SUM(H30:H$30),H30))</f>
        <v/>
      </c>
      <c r="K30" s="152" t="str">
        <f>IF($E30="","",IF($E31="",SUM(I30:I$30),I30))</f>
        <v/>
      </c>
      <c r="L30" s="127" t="str">
        <f t="shared" si="3"/>
        <v/>
      </c>
      <c r="M30" s="126" t="str">
        <f t="shared" si="4"/>
        <v/>
      </c>
      <c r="N30" s="126" t="str">
        <f t="shared" si="5"/>
        <v/>
      </c>
      <c r="O30" s="125" t="str">
        <f t="shared" ref="O30" si="26">IF(M30="","",N30-M30+1)</f>
        <v/>
      </c>
      <c r="P30" s="128" t="str">
        <f t="shared" si="21"/>
        <v/>
      </c>
      <c r="Q30" s="142" t="str">
        <f t="shared" si="6"/>
        <v/>
      </c>
      <c r="R30" s="129" t="str">
        <f t="shared" si="7"/>
        <v/>
      </c>
      <c r="S30" s="130" t="str">
        <f t="shared" si="8"/>
        <v/>
      </c>
      <c r="T30" s="131" t="str">
        <f t="shared" si="9"/>
        <v/>
      </c>
      <c r="U30" s="131" t="str">
        <f t="shared" si="10"/>
        <v/>
      </c>
      <c r="V30" s="131" t="str">
        <f t="shared" si="22"/>
        <v/>
      </c>
      <c r="W30" s="132" t="str">
        <f>IF(M30="","",VLOOKUP($B$6,rekenwaarden!M$8:N$12,2))</f>
        <v/>
      </c>
      <c r="X30" s="133" t="str">
        <f t="shared" si="11"/>
        <v/>
      </c>
      <c r="Y30" s="133" t="str">
        <f t="shared" si="12"/>
        <v/>
      </c>
      <c r="Z30" s="133" t="str">
        <f>IF(M30="","", VLOOKUP(B$6,rekenwaarden!M$8:T$12,3)*Q30)</f>
        <v/>
      </c>
      <c r="AA30" s="133" t="str">
        <f t="shared" si="13"/>
        <v/>
      </c>
      <c r="AB30" s="133" t="str">
        <f>IF(M30="","", VLOOKUP($B$6,rekenwaarden!M$8:T$12,4)*Q30)</f>
        <v/>
      </c>
      <c r="AC30" s="133" t="str">
        <f t="shared" si="14"/>
        <v/>
      </c>
      <c r="AD30" s="133" t="str">
        <f t="shared" si="15"/>
        <v/>
      </c>
      <c r="AE30" s="133" t="str">
        <f t="shared" si="16"/>
        <v/>
      </c>
      <c r="AF30" s="133" t="str">
        <f t="shared" si="23"/>
        <v/>
      </c>
      <c r="AG30" s="133" t="str">
        <f t="shared" si="17"/>
        <v/>
      </c>
      <c r="AH30" s="134" t="str">
        <f t="shared" ca="1" si="18"/>
        <v/>
      </c>
      <c r="AI30" s="134" t="str">
        <f t="shared" ca="1" si="24"/>
        <v/>
      </c>
      <c r="AJ30" s="134"/>
      <c r="AK30" s="134"/>
      <c r="AL30" s="135" t="str">
        <f t="shared" si="25"/>
        <v/>
      </c>
    </row>
  </sheetData>
  <sheetProtection algorithmName="SHA-512" hashValue="fNlEzKJ+2GVw8Cp7Q0zzu3G03fXb24m0KDaumAiXG9/pNtv106Om4AXaChdqyY5k/zJJBJeQ0pg/bChLcD5eIA==" saltValue="X0vw3TXRGZIY8dbDa/euFw==" spinCount="100000" sheet="1" objects="1" scenarios="1"/>
  <protectedRanges>
    <protectedRange sqref="K2:U14" name="Loonaangiftebericht"/>
    <protectedRange sqref="B1:B9" name="Persoon en IKV"/>
  </protectedRanges>
  <mergeCells count="2">
    <mergeCell ref="A11:B11"/>
    <mergeCell ref="D17:E17"/>
  </mergeCells>
  <dataValidations count="8">
    <dataValidation type="whole" allowBlank="1" showInputMessage="1" showErrorMessage="1" promptTitle="Handboek Loonheffingen: " prompt="Rekenkundig afgeronde hele uren" sqref="N2:N14" xr:uid="{B98A873E-C56C-4A06-B9F8-EE5FA853426C}">
      <formula1>-999</formula1>
      <formula2>999</formula2>
    </dataValidation>
    <dataValidation type="list" allowBlank="1" showInputMessage="1" showErrorMessage="1" sqref="K2:K14" xr:uid="{0FCFC82F-B74A-41E1-B01C-46D06A3D2762}">
      <formula1>Code_Reden_Einde_Arbeidsverhouding</formula1>
    </dataValidation>
    <dataValidation type="list" allowBlank="1" showInputMessage="1" showErrorMessage="1" sqref="M2:M14" xr:uid="{10F80010-00B9-4CBB-A41F-16E60F5A0F8E}">
      <formula1>Code_Aard_Arbeidsverhouding</formula1>
    </dataValidation>
    <dataValidation type="list" allowBlank="1" showInputMessage="1" showErrorMessage="1" sqref="L2:L14" xr:uid="{F6441678-88DF-429B-910C-E01B61B9E559}">
      <formula1>Code_Soort_IKV</formula1>
    </dataValidation>
    <dataValidation type="list" allowBlank="1" showInputMessage="1" showErrorMessage="1" sqref="C2" xr:uid="{076DFF47-5D29-493F-B838-8E574F5D35CE}">
      <formula1>"maandelijks,vierwekelijks"</formula1>
    </dataValidation>
    <dataValidation type="list" allowBlank="1" showInputMessage="1" showErrorMessage="1" sqref="B1:C1" xr:uid="{8FA6CDA3-28BB-48E0-BE6C-617B563D57D5}">
      <formula1>"2027,2028"</formula1>
    </dataValidation>
    <dataValidation type="list" allowBlank="1" showInputMessage="1" showErrorMessage="1" sqref="B8:C8" xr:uid="{0F6C3A3F-F810-4669-BD78-71A097D6ADA4}">
      <formula1>"WAAR,NIET WAAR"</formula1>
    </dataValidation>
    <dataValidation type="list" allowBlank="1" showInputMessage="1" showErrorMessage="1" sqref="B2" xr:uid="{154003BB-E71F-4371-BB1F-FF4261DF1398}">
      <formula1>"Maandelijks,Vierwekelijks"</formula1>
    </dataValidation>
  </dataValidations>
  <pageMargins left="0.7" right="0.7" top="0.75" bottom="0.75" header="0.3" footer="0.3"/>
  <ignoredErrors>
    <ignoredError sqref="L18:L30" unlockedFormula="1"/>
    <ignoredError sqref="F2:F14 Q2:Q9" calculatedColumn="1"/>
  </ignoredErrors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C916548-98C0-477B-A03A-09774156DD42}">
          <x14:formula1>
            <xm:f>rekenwaarden!$M$8:$M$12</xm:f>
          </x14:formula1>
          <xm:sqref>B6:C6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A3AC-8946-4D3E-AC3F-CA8207028413}">
  <sheetPr>
    <tabColor theme="3"/>
  </sheetPr>
  <dimension ref="A1:AE94"/>
  <sheetViews>
    <sheetView showGridLines="0" workbookViewId="0"/>
  </sheetViews>
  <sheetFormatPr defaultColWidth="8.81640625" defaultRowHeight="14.5" x14ac:dyDescent="0.35"/>
  <cols>
    <col min="1" max="1" width="8.81640625" style="16" customWidth="1"/>
    <col min="2" max="2" width="10.1796875" style="16" customWidth="1"/>
    <col min="3" max="3" width="13.81640625" style="16" customWidth="1"/>
    <col min="4" max="5" width="10.1796875" style="16" customWidth="1"/>
    <col min="6" max="6" width="16.81640625" style="16" customWidth="1"/>
    <col min="7" max="8" width="8.81640625" style="16" customWidth="1"/>
    <col min="9" max="9" width="10.453125" style="16" customWidth="1"/>
    <col min="10" max="10" width="10.1796875" style="16" customWidth="1"/>
    <col min="11" max="11" width="8.81640625" style="16"/>
    <col min="12" max="12" width="12.81640625" style="16" customWidth="1"/>
    <col min="13" max="13" width="18.1796875" style="16" bestFit="1" customWidth="1"/>
    <col min="14" max="20" width="12.81640625" style="16" customWidth="1"/>
    <col min="21" max="16384" width="8.81640625" style="16"/>
  </cols>
  <sheetData>
    <row r="1" spans="1:31" x14ac:dyDescent="0.35">
      <c r="A1" s="15" t="s">
        <v>72</v>
      </c>
      <c r="E1" s="15" t="s">
        <v>1</v>
      </c>
      <c r="G1" s="15" t="s">
        <v>73</v>
      </c>
    </row>
    <row r="2" spans="1:31" x14ac:dyDescent="0.35">
      <c r="A2" s="180" t="s">
        <v>74</v>
      </c>
      <c r="B2" s="181" t="s">
        <v>1</v>
      </c>
      <c r="C2" s="181" t="s">
        <v>75</v>
      </c>
      <c r="D2" s="182" t="s">
        <v>76</v>
      </c>
      <c r="E2" s="17"/>
      <c r="I2" s="189" t="s">
        <v>77</v>
      </c>
      <c r="J2" s="189" t="s">
        <v>78</v>
      </c>
      <c r="K2" s="18"/>
      <c r="L2" s="18" t="s">
        <v>79</v>
      </c>
      <c r="M2" s="190" t="s">
        <v>80</v>
      </c>
      <c r="N2" s="190" t="s">
        <v>81</v>
      </c>
      <c r="O2" s="190" t="s">
        <v>82</v>
      </c>
      <c r="P2" s="190" t="s">
        <v>83</v>
      </c>
      <c r="R2"/>
      <c r="AC2" s="16" t="s">
        <v>84</v>
      </c>
      <c r="AD2" s="16" t="s">
        <v>85</v>
      </c>
      <c r="AE2" s="16" t="s">
        <v>86</v>
      </c>
    </row>
    <row r="3" spans="1:31" x14ac:dyDescent="0.35">
      <c r="A3" s="183">
        <v>2027</v>
      </c>
      <c r="B3" s="178">
        <v>1</v>
      </c>
      <c r="C3" s="179">
        <f t="shared" ref="C3:C29" si="0">IF(B3=1,DATE(A3,B3,1),C2 + 28 + IF(B3=2, 4 - WEEKDAY(C2,15), 0))</f>
        <v>46388</v>
      </c>
      <c r="D3" s="184">
        <f t="shared" ref="D3:D27" si="1">C4-1</f>
        <v>46418</v>
      </c>
      <c r="E3" s="19">
        <v>1</v>
      </c>
      <c r="F3" s="16" t="s">
        <v>87</v>
      </c>
      <c r="G3" s="178">
        <f t="shared" ref="G3:G14" si="2">A3</f>
        <v>2027</v>
      </c>
      <c r="H3" s="178">
        <v>1</v>
      </c>
      <c r="I3" s="179">
        <f>DATE(G3, 1, 1)</f>
        <v>46388</v>
      </c>
      <c r="J3" s="179">
        <f>DATE(YEAR(I3), MONTH(I3)+1, 1-1)</f>
        <v>46418</v>
      </c>
      <c r="K3" s="19"/>
      <c r="L3" s="188">
        <f>G3</f>
        <v>2027</v>
      </c>
      <c r="M3" s="195">
        <v>12000</v>
      </c>
      <c r="N3" s="195">
        <v>79409</v>
      </c>
      <c r="O3" s="195">
        <v>120000</v>
      </c>
      <c r="P3" s="196">
        <v>0.29699999999999999</v>
      </c>
      <c r="R3"/>
      <c r="AC3" s="16">
        <v>11</v>
      </c>
      <c r="AD3" s="16">
        <v>1</v>
      </c>
      <c r="AE3" s="16">
        <v>1</v>
      </c>
    </row>
    <row r="4" spans="1:31" x14ac:dyDescent="0.35">
      <c r="A4" s="183">
        <v>2027</v>
      </c>
      <c r="B4" s="178">
        <v>2</v>
      </c>
      <c r="C4" s="179">
        <f t="shared" si="0"/>
        <v>46419</v>
      </c>
      <c r="D4" s="184">
        <f t="shared" si="1"/>
        <v>46446</v>
      </c>
      <c r="E4" s="19">
        <v>2</v>
      </c>
      <c r="F4" s="21" t="s">
        <v>88</v>
      </c>
      <c r="G4" s="178">
        <f t="shared" si="2"/>
        <v>2027</v>
      </c>
      <c r="H4" s="178">
        <v>2</v>
      </c>
      <c r="I4" s="179">
        <f>J3+1</f>
        <v>46419</v>
      </c>
      <c r="J4" s="179">
        <f t="shared" ref="J4:J14" si="3">DATE(YEAR(I4), MONTH(I4)+1, 1-1)</f>
        <v>46446</v>
      </c>
      <c r="K4" s="19"/>
      <c r="L4" s="188">
        <f>G15</f>
        <v>2028</v>
      </c>
      <c r="M4" s="195">
        <f>M3+1000</f>
        <v>13000</v>
      </c>
      <c r="N4" s="195">
        <f>N3+2000</f>
        <v>81409</v>
      </c>
      <c r="O4" s="195">
        <f>O3+3000</f>
        <v>123000</v>
      </c>
      <c r="P4" s="196">
        <f>P3+0.01</f>
        <v>0.307</v>
      </c>
      <c r="R4"/>
      <c r="AC4" s="16">
        <v>13</v>
      </c>
      <c r="AD4" s="16">
        <v>4</v>
      </c>
      <c r="AE4" s="16">
        <v>3</v>
      </c>
    </row>
    <row r="5" spans="1:31" x14ac:dyDescent="0.35">
      <c r="A5" s="183">
        <v>2027</v>
      </c>
      <c r="B5" s="178">
        <v>3</v>
      </c>
      <c r="C5" s="179">
        <f t="shared" si="0"/>
        <v>46447</v>
      </c>
      <c r="D5" s="184">
        <f t="shared" si="1"/>
        <v>46474</v>
      </c>
      <c r="E5" s="19">
        <v>3</v>
      </c>
      <c r="F5" s="16" t="s">
        <v>89</v>
      </c>
      <c r="G5" s="178">
        <f t="shared" si="2"/>
        <v>2027</v>
      </c>
      <c r="H5" s="178">
        <v>3</v>
      </c>
      <c r="I5" s="179">
        <f t="shared" ref="I5:I14" si="4">J4+1</f>
        <v>46447</v>
      </c>
      <c r="J5" s="179">
        <f t="shared" si="3"/>
        <v>46477</v>
      </c>
      <c r="K5" s="19"/>
      <c r="AC5" s="16">
        <v>15</v>
      </c>
      <c r="AD5" s="16">
        <v>6</v>
      </c>
      <c r="AE5" s="16">
        <v>4</v>
      </c>
    </row>
    <row r="6" spans="1:31" x14ac:dyDescent="0.35">
      <c r="A6" s="183">
        <v>2027</v>
      </c>
      <c r="B6" s="178">
        <v>4</v>
      </c>
      <c r="C6" s="179">
        <f t="shared" si="0"/>
        <v>46475</v>
      </c>
      <c r="D6" s="184">
        <f t="shared" si="1"/>
        <v>46502</v>
      </c>
      <c r="E6" s="19">
        <v>4</v>
      </c>
      <c r="F6" s="21" t="s">
        <v>90</v>
      </c>
      <c r="G6" s="178">
        <f t="shared" si="2"/>
        <v>2027</v>
      </c>
      <c r="H6" s="178">
        <v>4</v>
      </c>
      <c r="I6" s="179">
        <f t="shared" si="4"/>
        <v>46478</v>
      </c>
      <c r="J6" s="179">
        <f t="shared" si="3"/>
        <v>46507</v>
      </c>
      <c r="K6" s="19"/>
      <c r="AC6" s="16">
        <v>17</v>
      </c>
      <c r="AD6" s="16">
        <v>7</v>
      </c>
      <c r="AE6" s="16">
        <v>5</v>
      </c>
    </row>
    <row r="7" spans="1:31" x14ac:dyDescent="0.35">
      <c r="A7" s="183">
        <v>2027</v>
      </c>
      <c r="B7" s="178">
        <v>5</v>
      </c>
      <c r="C7" s="179">
        <f t="shared" si="0"/>
        <v>46503</v>
      </c>
      <c r="D7" s="184">
        <f t="shared" si="1"/>
        <v>46530</v>
      </c>
      <c r="E7" s="19">
        <v>5</v>
      </c>
      <c r="F7" s="16" t="s">
        <v>91</v>
      </c>
      <c r="G7" s="178">
        <f t="shared" si="2"/>
        <v>2027</v>
      </c>
      <c r="H7" s="178">
        <v>5</v>
      </c>
      <c r="I7" s="179">
        <f t="shared" si="4"/>
        <v>46508</v>
      </c>
      <c r="J7" s="179">
        <f t="shared" si="3"/>
        <v>46538</v>
      </c>
      <c r="K7" s="19"/>
      <c r="L7" s="190" t="s">
        <v>74</v>
      </c>
      <c r="M7" s="190" t="s">
        <v>92</v>
      </c>
      <c r="N7" s="190" t="s">
        <v>93</v>
      </c>
      <c r="O7" s="190" t="s">
        <v>94</v>
      </c>
      <c r="P7" s="190" t="s">
        <v>95</v>
      </c>
      <c r="Q7" s="190" t="s">
        <v>96</v>
      </c>
      <c r="R7" s="190" t="s">
        <v>97</v>
      </c>
      <c r="S7" s="190" t="s">
        <v>98</v>
      </c>
      <c r="T7" s="190" t="s">
        <v>99</v>
      </c>
      <c r="AC7" s="16">
        <v>18</v>
      </c>
      <c r="AD7" s="16">
        <v>11</v>
      </c>
      <c r="AE7" s="16">
        <v>6</v>
      </c>
    </row>
    <row r="8" spans="1:31" x14ac:dyDescent="0.35">
      <c r="A8" s="183">
        <v>2027</v>
      </c>
      <c r="B8" s="178">
        <v>6</v>
      </c>
      <c r="C8" s="179">
        <f t="shared" si="0"/>
        <v>46531</v>
      </c>
      <c r="D8" s="184">
        <f t="shared" si="1"/>
        <v>46558</v>
      </c>
      <c r="E8" s="19">
        <v>6</v>
      </c>
      <c r="F8" s="21" t="s">
        <v>100</v>
      </c>
      <c r="G8" s="178">
        <f t="shared" si="2"/>
        <v>2027</v>
      </c>
      <c r="H8" s="178">
        <v>6</v>
      </c>
      <c r="I8" s="179">
        <f t="shared" si="4"/>
        <v>46539</v>
      </c>
      <c r="J8" s="179">
        <f t="shared" si="3"/>
        <v>46568</v>
      </c>
      <c r="K8" s="19"/>
      <c r="L8" s="178">
        <v>2027</v>
      </c>
      <c r="M8" s="178" t="s">
        <v>71</v>
      </c>
      <c r="N8" s="191">
        <v>8.31</v>
      </c>
      <c r="O8" s="191">
        <v>79409</v>
      </c>
      <c r="P8" s="191">
        <v>137800</v>
      </c>
      <c r="Q8" s="192">
        <v>0.3</v>
      </c>
      <c r="R8" s="192">
        <v>0.19839999999999999</v>
      </c>
      <c r="S8" s="193">
        <f>Q8-R8</f>
        <v>0.1016</v>
      </c>
      <c r="T8" s="194">
        <v>40</v>
      </c>
      <c r="U8" s="22" t="s">
        <v>101</v>
      </c>
      <c r="AC8" s="16">
        <v>22</v>
      </c>
      <c r="AD8" s="16">
        <v>18</v>
      </c>
      <c r="AE8" s="16">
        <v>20</v>
      </c>
    </row>
    <row r="9" spans="1:31" x14ac:dyDescent="0.35">
      <c r="A9" s="183">
        <v>2027</v>
      </c>
      <c r="B9" s="178">
        <v>7</v>
      </c>
      <c r="C9" s="179">
        <f t="shared" si="0"/>
        <v>46559</v>
      </c>
      <c r="D9" s="184">
        <f t="shared" si="1"/>
        <v>46586</v>
      </c>
      <c r="E9" s="19">
        <v>7</v>
      </c>
      <c r="F9" s="16" t="s">
        <v>102</v>
      </c>
      <c r="G9" s="178">
        <f t="shared" si="2"/>
        <v>2027</v>
      </c>
      <c r="H9" s="178">
        <v>7</v>
      </c>
      <c r="I9" s="179">
        <f t="shared" si="4"/>
        <v>46569</v>
      </c>
      <c r="J9" s="179">
        <f t="shared" si="3"/>
        <v>46599</v>
      </c>
      <c r="K9" s="19"/>
      <c r="L9" s="178">
        <v>2027</v>
      </c>
      <c r="M9" s="178" t="s">
        <v>25</v>
      </c>
      <c r="N9" s="191">
        <v>8.49</v>
      </c>
      <c r="O9" s="191">
        <v>79409</v>
      </c>
      <c r="P9" s="191">
        <v>137800</v>
      </c>
      <c r="Q9" s="192">
        <v>0.3</v>
      </c>
      <c r="R9" s="192">
        <v>0.17749999999999999</v>
      </c>
      <c r="S9" s="193">
        <f t="shared" ref="S9:S12" si="5">Q9-R9</f>
        <v>0.1225</v>
      </c>
      <c r="T9" s="194">
        <v>40</v>
      </c>
      <c r="U9" s="22" t="s">
        <v>103</v>
      </c>
      <c r="AC9" s="16">
        <v>23</v>
      </c>
      <c r="AD9" s="16">
        <v>21</v>
      </c>
      <c r="AE9" s="16">
        <v>21</v>
      </c>
    </row>
    <row r="10" spans="1:31" x14ac:dyDescent="0.35">
      <c r="A10" s="183">
        <v>2027</v>
      </c>
      <c r="B10" s="178">
        <v>8</v>
      </c>
      <c r="C10" s="179">
        <f t="shared" si="0"/>
        <v>46587</v>
      </c>
      <c r="D10" s="184">
        <f t="shared" si="1"/>
        <v>46614</v>
      </c>
      <c r="E10" s="19">
        <v>8</v>
      </c>
      <c r="F10" s="21" t="s">
        <v>104</v>
      </c>
      <c r="G10" s="178">
        <f t="shared" si="2"/>
        <v>2027</v>
      </c>
      <c r="H10" s="178">
        <v>8</v>
      </c>
      <c r="I10" s="179">
        <f t="shared" si="4"/>
        <v>46600</v>
      </c>
      <c r="J10" s="179">
        <f t="shared" si="3"/>
        <v>46630</v>
      </c>
      <c r="K10" s="19"/>
      <c r="L10" s="178">
        <v>2027</v>
      </c>
      <c r="M10" s="178" t="s">
        <v>69</v>
      </c>
      <c r="N10" s="191">
        <v>9.4499999999999993</v>
      </c>
      <c r="O10" s="191">
        <v>79409</v>
      </c>
      <c r="P10" s="191">
        <v>137800</v>
      </c>
      <c r="Q10" s="192">
        <v>0.3</v>
      </c>
      <c r="R10" s="192">
        <v>0.17810000000000001</v>
      </c>
      <c r="S10" s="193">
        <f t="shared" si="5"/>
        <v>0.12189999999999998</v>
      </c>
      <c r="T10" s="194">
        <v>40</v>
      </c>
      <c r="U10" s="22" t="s">
        <v>105</v>
      </c>
      <c r="AC10" s="16">
        <v>24</v>
      </c>
      <c r="AD10" s="16">
        <v>22</v>
      </c>
      <c r="AE10" s="16">
        <v>30</v>
      </c>
    </row>
    <row r="11" spans="1:31" x14ac:dyDescent="0.35">
      <c r="A11" s="183">
        <v>2027</v>
      </c>
      <c r="B11" s="178">
        <v>9</v>
      </c>
      <c r="C11" s="179">
        <f t="shared" si="0"/>
        <v>46615</v>
      </c>
      <c r="D11" s="184">
        <f t="shared" si="1"/>
        <v>46642</v>
      </c>
      <c r="E11" s="19">
        <v>9</v>
      </c>
      <c r="F11" s="16" t="s">
        <v>106</v>
      </c>
      <c r="G11" s="178">
        <f t="shared" si="2"/>
        <v>2027</v>
      </c>
      <c r="H11" s="178">
        <v>9</v>
      </c>
      <c r="I11" s="179">
        <f t="shared" si="4"/>
        <v>46631</v>
      </c>
      <c r="J11" s="179">
        <f t="shared" si="3"/>
        <v>46660</v>
      </c>
      <c r="K11" s="19"/>
      <c r="L11" s="178">
        <v>2027</v>
      </c>
      <c r="M11" s="178" t="s">
        <v>70</v>
      </c>
      <c r="N11" s="191">
        <v>9.1199999999999992</v>
      </c>
      <c r="O11" s="191">
        <v>79409</v>
      </c>
      <c r="P11" s="191">
        <v>137800</v>
      </c>
      <c r="Q11" s="192">
        <v>0.3</v>
      </c>
      <c r="R11" s="192">
        <v>0.18</v>
      </c>
      <c r="S11" s="193">
        <f t="shared" si="5"/>
        <v>0.12</v>
      </c>
      <c r="T11" s="194">
        <v>40</v>
      </c>
      <c r="U11" s="22" t="s">
        <v>107</v>
      </c>
      <c r="AC11" s="16">
        <v>31</v>
      </c>
      <c r="AD11" s="16">
        <v>23</v>
      </c>
      <c r="AE11" s="16">
        <v>32</v>
      </c>
    </row>
    <row r="12" spans="1:31" x14ac:dyDescent="0.35">
      <c r="A12" s="183">
        <v>2027</v>
      </c>
      <c r="B12" s="178">
        <v>10</v>
      </c>
      <c r="C12" s="179">
        <f t="shared" si="0"/>
        <v>46643</v>
      </c>
      <c r="D12" s="184">
        <f t="shared" si="1"/>
        <v>46670</v>
      </c>
      <c r="E12" s="19">
        <v>10</v>
      </c>
      <c r="F12" s="21" t="s">
        <v>108</v>
      </c>
      <c r="G12" s="178">
        <f t="shared" si="2"/>
        <v>2027</v>
      </c>
      <c r="H12" s="178">
        <v>10</v>
      </c>
      <c r="I12" s="179">
        <f t="shared" si="4"/>
        <v>46661</v>
      </c>
      <c r="J12" s="179">
        <f t="shared" si="3"/>
        <v>46691</v>
      </c>
      <c r="K12" s="19"/>
      <c r="L12" s="178">
        <v>2027</v>
      </c>
      <c r="M12" s="178" t="s">
        <v>109</v>
      </c>
      <c r="N12" s="191">
        <v>8.31</v>
      </c>
      <c r="O12" s="191">
        <v>79409</v>
      </c>
      <c r="P12" s="191">
        <v>137800</v>
      </c>
      <c r="Q12" s="192">
        <v>0.3</v>
      </c>
      <c r="R12" s="192">
        <v>0.17810000000000001</v>
      </c>
      <c r="S12" s="193">
        <f t="shared" si="5"/>
        <v>0.12189999999999998</v>
      </c>
      <c r="T12" s="194">
        <v>40</v>
      </c>
      <c r="AC12" s="16">
        <v>32</v>
      </c>
      <c r="AD12" s="16">
        <v>24</v>
      </c>
      <c r="AE12" s="16">
        <v>33</v>
      </c>
    </row>
    <row r="13" spans="1:31" x14ac:dyDescent="0.35">
      <c r="A13" s="183">
        <v>2027</v>
      </c>
      <c r="B13" s="178">
        <v>11</v>
      </c>
      <c r="C13" s="179">
        <f t="shared" si="0"/>
        <v>46671</v>
      </c>
      <c r="D13" s="184">
        <f t="shared" si="1"/>
        <v>46698</v>
      </c>
      <c r="E13" s="19">
        <v>11</v>
      </c>
      <c r="F13" s="16" t="s">
        <v>110</v>
      </c>
      <c r="G13" s="178">
        <f t="shared" si="2"/>
        <v>2027</v>
      </c>
      <c r="H13" s="178">
        <v>11</v>
      </c>
      <c r="I13" s="179">
        <f t="shared" si="4"/>
        <v>46692</v>
      </c>
      <c r="J13" s="179">
        <f t="shared" si="3"/>
        <v>46721</v>
      </c>
      <c r="K13" s="19"/>
      <c r="AC13" s="16">
        <v>33</v>
      </c>
      <c r="AD13" s="16">
        <v>79</v>
      </c>
      <c r="AE13" s="16">
        <v>34</v>
      </c>
    </row>
    <row r="14" spans="1:31" x14ac:dyDescent="0.35">
      <c r="A14" s="183">
        <v>2027</v>
      </c>
      <c r="B14" s="178">
        <v>12</v>
      </c>
      <c r="C14" s="179">
        <f t="shared" si="0"/>
        <v>46699</v>
      </c>
      <c r="D14" s="184">
        <f t="shared" si="1"/>
        <v>46726</v>
      </c>
      <c r="E14" s="19">
        <v>12</v>
      </c>
      <c r="F14" s="21" t="s">
        <v>111</v>
      </c>
      <c r="G14" s="178">
        <f t="shared" si="2"/>
        <v>2027</v>
      </c>
      <c r="H14" s="178">
        <v>12</v>
      </c>
      <c r="I14" s="179">
        <f t="shared" si="4"/>
        <v>46722</v>
      </c>
      <c r="J14" s="179">
        <f t="shared" si="3"/>
        <v>46752</v>
      </c>
      <c r="K14" s="19"/>
      <c r="AC14" s="16">
        <v>34</v>
      </c>
      <c r="AD14" s="16">
        <v>81</v>
      </c>
      <c r="AE14" s="16">
        <v>40</v>
      </c>
    </row>
    <row r="15" spans="1:31" x14ac:dyDescent="0.35">
      <c r="A15" s="183">
        <v>2027</v>
      </c>
      <c r="B15" s="178">
        <v>13</v>
      </c>
      <c r="C15" s="179">
        <f t="shared" si="0"/>
        <v>46727</v>
      </c>
      <c r="D15" s="184">
        <f t="shared" si="1"/>
        <v>46752</v>
      </c>
      <c r="E15" s="19">
        <v>13</v>
      </c>
      <c r="F15" s="21"/>
      <c r="G15" s="178">
        <f t="shared" ref="G15:G26" si="6">A16</f>
        <v>2028</v>
      </c>
      <c r="H15" s="178">
        <v>1</v>
      </c>
      <c r="I15" s="179">
        <f>DATE(G15, 1, 1)</f>
        <v>46753</v>
      </c>
      <c r="J15" s="179">
        <f>DATE(YEAR(I15), MONTH(I15)+1, 1-1)</f>
        <v>46783</v>
      </c>
      <c r="K15" s="19"/>
      <c r="AC15" s="16">
        <v>36</v>
      </c>
      <c r="AD15" s="16">
        <v>82</v>
      </c>
      <c r="AE15" s="16">
        <v>41</v>
      </c>
    </row>
    <row r="16" spans="1:31" x14ac:dyDescent="0.35">
      <c r="A16" s="183">
        <f t="shared" ref="A16:A29" si="7">A3+1</f>
        <v>2028</v>
      </c>
      <c r="B16" s="178">
        <v>1</v>
      </c>
      <c r="C16" s="179">
        <f t="shared" si="0"/>
        <v>46753</v>
      </c>
      <c r="D16" s="184">
        <f t="shared" si="1"/>
        <v>46782</v>
      </c>
      <c r="E16" s="19"/>
      <c r="F16" s="21"/>
      <c r="G16" s="178">
        <f t="shared" si="6"/>
        <v>2028</v>
      </c>
      <c r="H16" s="178">
        <v>2</v>
      </c>
      <c r="I16" s="179">
        <f>J15+1</f>
        <v>46784</v>
      </c>
      <c r="J16" s="179">
        <f t="shared" ref="J16:J26" si="8">DATE(YEAR(I16), MONTH(I16)+1, 1-1)</f>
        <v>46812</v>
      </c>
      <c r="K16" s="19"/>
      <c r="AC16" s="16">
        <v>37</v>
      </c>
      <c r="AD16" s="16">
        <v>83</v>
      </c>
      <c r="AE16" s="16">
        <v>50</v>
      </c>
    </row>
    <row r="17" spans="1:31" x14ac:dyDescent="0.35">
      <c r="A17" s="183">
        <f t="shared" si="7"/>
        <v>2028</v>
      </c>
      <c r="B17" s="178">
        <v>2</v>
      </c>
      <c r="C17" s="179">
        <f t="shared" si="0"/>
        <v>46783</v>
      </c>
      <c r="D17" s="184">
        <f t="shared" si="1"/>
        <v>46810</v>
      </c>
      <c r="E17" s="19"/>
      <c r="F17" s="21"/>
      <c r="G17" s="178">
        <f t="shared" si="6"/>
        <v>2028</v>
      </c>
      <c r="H17" s="178">
        <v>3</v>
      </c>
      <c r="I17" s="179">
        <f t="shared" ref="I17:I26" si="9">J16+1</f>
        <v>46813</v>
      </c>
      <c r="J17" s="179">
        <f t="shared" si="8"/>
        <v>46843</v>
      </c>
      <c r="K17" s="19"/>
      <c r="AC17" s="16">
        <v>38</v>
      </c>
      <c r="AE17" s="16">
        <v>51</v>
      </c>
    </row>
    <row r="18" spans="1:31" x14ac:dyDescent="0.35">
      <c r="A18" s="183">
        <f t="shared" si="7"/>
        <v>2028</v>
      </c>
      <c r="B18" s="178">
        <v>3</v>
      </c>
      <c r="C18" s="179">
        <f t="shared" si="0"/>
        <v>46811</v>
      </c>
      <c r="D18" s="184">
        <f t="shared" si="1"/>
        <v>46838</v>
      </c>
      <c r="E18" s="19"/>
      <c r="F18" s="21"/>
      <c r="G18" s="178">
        <f t="shared" si="6"/>
        <v>2028</v>
      </c>
      <c r="H18" s="178">
        <v>4</v>
      </c>
      <c r="I18" s="179">
        <f t="shared" si="9"/>
        <v>46844</v>
      </c>
      <c r="J18" s="179">
        <f t="shared" si="8"/>
        <v>46873</v>
      </c>
      <c r="K18" s="19"/>
      <c r="AC18" s="16">
        <v>39</v>
      </c>
      <c r="AE18" s="16">
        <v>90</v>
      </c>
    </row>
    <row r="19" spans="1:31" x14ac:dyDescent="0.35">
      <c r="A19" s="183">
        <f t="shared" si="7"/>
        <v>2028</v>
      </c>
      <c r="B19" s="178">
        <v>4</v>
      </c>
      <c r="C19" s="179">
        <f t="shared" si="0"/>
        <v>46839</v>
      </c>
      <c r="D19" s="184">
        <f t="shared" si="1"/>
        <v>46866</v>
      </c>
      <c r="E19" s="19"/>
      <c r="F19" s="21"/>
      <c r="G19" s="178">
        <f t="shared" si="6"/>
        <v>2028</v>
      </c>
      <c r="H19" s="178">
        <v>5</v>
      </c>
      <c r="I19" s="179">
        <f t="shared" si="9"/>
        <v>46874</v>
      </c>
      <c r="J19" s="179">
        <f t="shared" si="8"/>
        <v>46904</v>
      </c>
      <c r="K19" s="19"/>
      <c r="AC19" s="16">
        <v>40</v>
      </c>
      <c r="AE19" s="16">
        <v>91</v>
      </c>
    </row>
    <row r="20" spans="1:31" x14ac:dyDescent="0.35">
      <c r="A20" s="183">
        <f t="shared" si="7"/>
        <v>2028</v>
      </c>
      <c r="B20" s="178">
        <v>5</v>
      </c>
      <c r="C20" s="179">
        <f t="shared" si="0"/>
        <v>46867</v>
      </c>
      <c r="D20" s="184">
        <f t="shared" si="1"/>
        <v>46894</v>
      </c>
      <c r="E20" s="19"/>
      <c r="F20" s="21"/>
      <c r="G20" s="178">
        <f t="shared" si="6"/>
        <v>2028</v>
      </c>
      <c r="H20" s="178">
        <v>6</v>
      </c>
      <c r="I20" s="179">
        <f t="shared" si="9"/>
        <v>46905</v>
      </c>
      <c r="J20" s="179">
        <f t="shared" si="8"/>
        <v>46934</v>
      </c>
      <c r="K20" s="19"/>
      <c r="AC20" s="16">
        <v>42</v>
      </c>
      <c r="AE20" s="16">
        <v>92</v>
      </c>
    </row>
    <row r="21" spans="1:31" x14ac:dyDescent="0.35">
      <c r="A21" s="183">
        <f t="shared" si="7"/>
        <v>2028</v>
      </c>
      <c r="B21" s="178">
        <v>6</v>
      </c>
      <c r="C21" s="179">
        <f t="shared" si="0"/>
        <v>46895</v>
      </c>
      <c r="D21" s="184">
        <f t="shared" si="1"/>
        <v>46922</v>
      </c>
      <c r="E21" s="19"/>
      <c r="F21" s="21"/>
      <c r="G21" s="178">
        <f t="shared" si="6"/>
        <v>2028</v>
      </c>
      <c r="H21" s="178">
        <v>7</v>
      </c>
      <c r="I21" s="179">
        <f t="shared" si="9"/>
        <v>46935</v>
      </c>
      <c r="J21" s="179">
        <f t="shared" si="8"/>
        <v>46965</v>
      </c>
      <c r="K21" s="19"/>
      <c r="AC21" s="16">
        <v>43</v>
      </c>
      <c r="AE21" s="16">
        <v>99</v>
      </c>
    </row>
    <row r="22" spans="1:31" x14ac:dyDescent="0.35">
      <c r="A22" s="183">
        <f t="shared" si="7"/>
        <v>2028</v>
      </c>
      <c r="B22" s="178">
        <v>7</v>
      </c>
      <c r="C22" s="179">
        <f t="shared" si="0"/>
        <v>46923</v>
      </c>
      <c r="D22" s="184">
        <f t="shared" si="1"/>
        <v>46950</v>
      </c>
      <c r="E22" s="19"/>
      <c r="F22" s="21"/>
      <c r="G22" s="178">
        <f t="shared" si="6"/>
        <v>2028</v>
      </c>
      <c r="H22" s="178">
        <v>8</v>
      </c>
      <c r="I22" s="179">
        <f t="shared" si="9"/>
        <v>46966</v>
      </c>
      <c r="J22" s="179">
        <f t="shared" si="8"/>
        <v>46996</v>
      </c>
      <c r="K22" s="19"/>
      <c r="AC22" s="16">
        <v>45</v>
      </c>
    </row>
    <row r="23" spans="1:31" x14ac:dyDescent="0.35">
      <c r="A23" s="183">
        <f t="shared" si="7"/>
        <v>2028</v>
      </c>
      <c r="B23" s="178">
        <v>8</v>
      </c>
      <c r="C23" s="179">
        <f t="shared" si="0"/>
        <v>46951</v>
      </c>
      <c r="D23" s="184">
        <f t="shared" si="1"/>
        <v>46978</v>
      </c>
      <c r="E23" s="19"/>
      <c r="F23" s="21"/>
      <c r="G23" s="178">
        <f t="shared" si="6"/>
        <v>2028</v>
      </c>
      <c r="H23" s="178">
        <v>9</v>
      </c>
      <c r="I23" s="179">
        <f t="shared" si="9"/>
        <v>46997</v>
      </c>
      <c r="J23" s="179">
        <f t="shared" si="8"/>
        <v>47026</v>
      </c>
      <c r="K23" s="19"/>
      <c r="AC23" s="16">
        <v>50</v>
      </c>
    </row>
    <row r="24" spans="1:31" x14ac:dyDescent="0.35">
      <c r="A24" s="183">
        <f t="shared" si="7"/>
        <v>2028</v>
      </c>
      <c r="B24" s="178">
        <v>9</v>
      </c>
      <c r="C24" s="179">
        <f t="shared" si="0"/>
        <v>46979</v>
      </c>
      <c r="D24" s="184">
        <f t="shared" si="1"/>
        <v>47006</v>
      </c>
      <c r="E24" s="19"/>
      <c r="F24" s="21"/>
      <c r="G24" s="178">
        <f t="shared" si="6"/>
        <v>2028</v>
      </c>
      <c r="H24" s="178">
        <v>10</v>
      </c>
      <c r="I24" s="179">
        <f t="shared" si="9"/>
        <v>47027</v>
      </c>
      <c r="J24" s="179">
        <f t="shared" si="8"/>
        <v>47057</v>
      </c>
      <c r="K24" s="19"/>
      <c r="AC24" s="16">
        <v>54</v>
      </c>
    </row>
    <row r="25" spans="1:31" x14ac:dyDescent="0.35">
      <c r="A25" s="183">
        <f t="shared" si="7"/>
        <v>2028</v>
      </c>
      <c r="B25" s="178">
        <v>10</v>
      </c>
      <c r="C25" s="179">
        <f t="shared" si="0"/>
        <v>47007</v>
      </c>
      <c r="D25" s="184">
        <f t="shared" si="1"/>
        <v>47034</v>
      </c>
      <c r="E25" s="19"/>
      <c r="F25" s="21"/>
      <c r="G25" s="178">
        <f t="shared" si="6"/>
        <v>2028</v>
      </c>
      <c r="H25" s="178">
        <v>11</v>
      </c>
      <c r="I25" s="179">
        <f t="shared" si="9"/>
        <v>47058</v>
      </c>
      <c r="J25" s="179">
        <f t="shared" si="8"/>
        <v>47087</v>
      </c>
      <c r="K25" s="19"/>
      <c r="AC25" s="16">
        <v>53</v>
      </c>
    </row>
    <row r="26" spans="1:31" x14ac:dyDescent="0.35">
      <c r="A26" s="183">
        <f t="shared" si="7"/>
        <v>2028</v>
      </c>
      <c r="B26" s="178">
        <v>11</v>
      </c>
      <c r="C26" s="179">
        <f t="shared" si="0"/>
        <v>47035</v>
      </c>
      <c r="D26" s="184">
        <f t="shared" si="1"/>
        <v>47062</v>
      </c>
      <c r="E26" s="19"/>
      <c r="F26" s="21"/>
      <c r="G26" s="178">
        <f t="shared" si="6"/>
        <v>2028</v>
      </c>
      <c r="H26" s="178">
        <v>12</v>
      </c>
      <c r="I26" s="179">
        <f t="shared" si="9"/>
        <v>47088</v>
      </c>
      <c r="J26" s="179">
        <f t="shared" si="8"/>
        <v>47118</v>
      </c>
      <c r="K26" s="19"/>
      <c r="AC26" s="16">
        <v>55</v>
      </c>
    </row>
    <row r="27" spans="1:31" x14ac:dyDescent="0.35">
      <c r="A27" s="183">
        <f t="shared" si="7"/>
        <v>2028</v>
      </c>
      <c r="B27" s="178">
        <v>12</v>
      </c>
      <c r="C27" s="179">
        <f t="shared" si="0"/>
        <v>47063</v>
      </c>
      <c r="D27" s="184">
        <f t="shared" si="1"/>
        <v>47090</v>
      </c>
      <c r="E27" s="19"/>
      <c r="F27" s="21"/>
      <c r="AC27" s="16">
        <v>56</v>
      </c>
    </row>
    <row r="28" spans="1:31" x14ac:dyDescent="0.35">
      <c r="A28" s="183">
        <f t="shared" si="7"/>
        <v>2028</v>
      </c>
      <c r="B28" s="178">
        <v>13</v>
      </c>
      <c r="C28" s="179">
        <f t="shared" si="0"/>
        <v>47091</v>
      </c>
      <c r="D28" s="184">
        <f>C29-1</f>
        <v>47118</v>
      </c>
      <c r="E28" s="19"/>
      <c r="F28" s="21"/>
      <c r="AC28" s="16">
        <v>57</v>
      </c>
    </row>
    <row r="29" spans="1:31" x14ac:dyDescent="0.35">
      <c r="A29" s="185">
        <f t="shared" si="7"/>
        <v>2029</v>
      </c>
      <c r="B29" s="186">
        <v>1</v>
      </c>
      <c r="C29" s="187">
        <f t="shared" si="0"/>
        <v>47119</v>
      </c>
      <c r="D29" s="20"/>
      <c r="E29" s="19"/>
      <c r="F29" s="21"/>
      <c r="AC29" s="16">
        <v>58</v>
      </c>
    </row>
    <row r="30" spans="1:31" x14ac:dyDescent="0.35">
      <c r="F30" s="21"/>
      <c r="AC30" s="16">
        <v>59</v>
      </c>
    </row>
    <row r="31" spans="1:31" x14ac:dyDescent="0.35">
      <c r="F31" s="21"/>
      <c r="AC31" s="16">
        <v>60</v>
      </c>
    </row>
    <row r="32" spans="1:31" x14ac:dyDescent="0.35">
      <c r="F32" s="21"/>
      <c r="AC32" s="16">
        <v>61</v>
      </c>
    </row>
    <row r="33" spans="6:29" x14ac:dyDescent="0.35">
      <c r="F33" s="21"/>
      <c r="AC33" s="16">
        <v>62</v>
      </c>
    </row>
    <row r="34" spans="6:29" x14ac:dyDescent="0.35">
      <c r="F34" s="21"/>
      <c r="AC34" s="16">
        <v>63</v>
      </c>
    </row>
    <row r="35" spans="6:29" x14ac:dyDescent="0.35">
      <c r="F35" s="21"/>
    </row>
    <row r="36" spans="6:29" x14ac:dyDescent="0.35">
      <c r="F36" s="21"/>
    </row>
    <row r="37" spans="6:29" x14ac:dyDescent="0.35">
      <c r="F37" s="21"/>
    </row>
    <row r="38" spans="6:29" x14ac:dyDescent="0.35">
      <c r="F38" s="21"/>
    </row>
    <row r="39" spans="6:29" x14ac:dyDescent="0.35">
      <c r="F39" s="21"/>
    </row>
    <row r="40" spans="6:29" x14ac:dyDescent="0.35">
      <c r="F40" s="21"/>
    </row>
    <row r="41" spans="6:29" x14ac:dyDescent="0.35">
      <c r="F41" s="21"/>
    </row>
    <row r="42" spans="6:29" x14ac:dyDescent="0.35">
      <c r="F42" s="21"/>
    </row>
    <row r="43" spans="6:29" x14ac:dyDescent="0.35">
      <c r="F43" s="21"/>
    </row>
    <row r="44" spans="6:29" x14ac:dyDescent="0.35">
      <c r="F44" s="21"/>
    </row>
    <row r="45" spans="6:29" x14ac:dyDescent="0.35">
      <c r="F45" s="21"/>
    </row>
    <row r="46" spans="6:29" x14ac:dyDescent="0.35">
      <c r="F46" s="21"/>
    </row>
    <row r="47" spans="6:29" x14ac:dyDescent="0.35">
      <c r="F47" s="21"/>
    </row>
    <row r="48" spans="6:29" x14ac:dyDescent="0.35">
      <c r="F48" s="21"/>
    </row>
    <row r="49" spans="6:6" x14ac:dyDescent="0.35">
      <c r="F49" s="21"/>
    </row>
    <row r="50" spans="6:6" x14ac:dyDescent="0.35">
      <c r="F50" s="21"/>
    </row>
    <row r="51" spans="6:6" x14ac:dyDescent="0.35">
      <c r="F51" s="21"/>
    </row>
    <row r="52" spans="6:6" x14ac:dyDescent="0.35">
      <c r="F52" s="21"/>
    </row>
    <row r="53" spans="6:6" x14ac:dyDescent="0.35">
      <c r="F53" s="21"/>
    </row>
    <row r="54" spans="6:6" x14ac:dyDescent="0.35">
      <c r="F54" s="21"/>
    </row>
    <row r="55" spans="6:6" x14ac:dyDescent="0.35">
      <c r="F55" s="21"/>
    </row>
    <row r="56" spans="6:6" x14ac:dyDescent="0.35">
      <c r="F56" s="21"/>
    </row>
    <row r="57" spans="6:6" x14ac:dyDescent="0.35">
      <c r="F57" s="21"/>
    </row>
    <row r="58" spans="6:6" x14ac:dyDescent="0.35">
      <c r="F58" s="21"/>
    </row>
    <row r="59" spans="6:6" x14ac:dyDescent="0.35">
      <c r="F59" s="21"/>
    </row>
    <row r="60" spans="6:6" x14ac:dyDescent="0.35">
      <c r="F60" s="21"/>
    </row>
    <row r="61" spans="6:6" x14ac:dyDescent="0.35">
      <c r="F61" s="21"/>
    </row>
    <row r="62" spans="6:6" x14ac:dyDescent="0.35">
      <c r="F62" s="21"/>
    </row>
    <row r="63" spans="6:6" x14ac:dyDescent="0.35">
      <c r="F63" s="21"/>
    </row>
    <row r="64" spans="6:6" x14ac:dyDescent="0.35">
      <c r="F64" s="21"/>
    </row>
    <row r="65" spans="6:6" x14ac:dyDescent="0.35">
      <c r="F65" s="21"/>
    </row>
    <row r="66" spans="6:6" x14ac:dyDescent="0.35">
      <c r="F66" s="21"/>
    </row>
    <row r="67" spans="6:6" x14ac:dyDescent="0.35">
      <c r="F67" s="21"/>
    </row>
    <row r="68" spans="6:6" x14ac:dyDescent="0.35">
      <c r="F68" s="21"/>
    </row>
    <row r="69" spans="6:6" x14ac:dyDescent="0.35">
      <c r="F69" s="21"/>
    </row>
    <row r="70" spans="6:6" x14ac:dyDescent="0.35">
      <c r="F70" s="21"/>
    </row>
    <row r="71" spans="6:6" x14ac:dyDescent="0.35">
      <c r="F71" s="21"/>
    </row>
    <row r="72" spans="6:6" x14ac:dyDescent="0.35">
      <c r="F72" s="21"/>
    </row>
    <row r="73" spans="6:6" x14ac:dyDescent="0.35">
      <c r="F73" s="21"/>
    </row>
    <row r="74" spans="6:6" x14ac:dyDescent="0.35">
      <c r="F74" s="21"/>
    </row>
    <row r="75" spans="6:6" x14ac:dyDescent="0.35">
      <c r="F75" s="21"/>
    </row>
    <row r="76" spans="6:6" x14ac:dyDescent="0.35">
      <c r="F76" s="21"/>
    </row>
    <row r="77" spans="6:6" x14ac:dyDescent="0.35">
      <c r="F77" s="21"/>
    </row>
    <row r="78" spans="6:6" x14ac:dyDescent="0.35">
      <c r="F78" s="21"/>
    </row>
    <row r="79" spans="6:6" x14ac:dyDescent="0.35">
      <c r="F79" s="21"/>
    </row>
    <row r="80" spans="6:6" x14ac:dyDescent="0.35">
      <c r="F80" s="21"/>
    </row>
    <row r="81" spans="6:7" x14ac:dyDescent="0.35">
      <c r="F81" s="21"/>
    </row>
    <row r="82" spans="6:7" x14ac:dyDescent="0.35">
      <c r="F82" s="21"/>
    </row>
    <row r="83" spans="6:7" x14ac:dyDescent="0.35">
      <c r="F83" s="21"/>
    </row>
    <row r="84" spans="6:7" x14ac:dyDescent="0.35">
      <c r="F84" s="21"/>
    </row>
    <row r="85" spans="6:7" x14ac:dyDescent="0.35">
      <c r="F85" s="21"/>
    </row>
    <row r="86" spans="6:7" x14ac:dyDescent="0.35">
      <c r="F86" s="21"/>
    </row>
    <row r="87" spans="6:7" x14ac:dyDescent="0.35">
      <c r="F87" s="21"/>
    </row>
    <row r="88" spans="6:7" x14ac:dyDescent="0.35">
      <c r="F88" s="21"/>
    </row>
    <row r="89" spans="6:7" x14ac:dyDescent="0.35">
      <c r="F89" s="21"/>
    </row>
    <row r="90" spans="6:7" x14ac:dyDescent="0.35">
      <c r="F90" s="21"/>
    </row>
    <row r="91" spans="6:7" x14ac:dyDescent="0.35">
      <c r="F91" s="21"/>
      <c r="G91" s="16" t="e">
        <f>WEEKDAY(#REF!,2)</f>
        <v>#REF!</v>
      </c>
    </row>
    <row r="92" spans="6:7" x14ac:dyDescent="0.35">
      <c r="F92" s="21"/>
    </row>
    <row r="93" spans="6:7" x14ac:dyDescent="0.35">
      <c r="F93" s="21"/>
    </row>
    <row r="94" spans="6:7" x14ac:dyDescent="0.35">
      <c r="F94" s="21"/>
    </row>
  </sheetData>
  <sheetProtection algorithmName="SHA-512" hashValue="bHeS/2xwNx8blc8oaWmPCMxHukVvjSDBHDWIqhGwXkW8KIdIenIEpBZUvcHwayLAyl9MOagZRPGvBRJE50qXqw==" saltValue="+N3IjmgYIEk45JLLwDwsbA==" spinCount="100000" sheet="1" objects="1" scenarios="1"/>
  <hyperlinks>
    <hyperlink ref="U8" r:id="rId1" display="https://www.flexpedia.nl/kennis/branches/cao-beroepsgoederenvervoer-tln/" xr:uid="{4D3E408E-C2D3-4D99-9CAA-A5180756D3EB}"/>
    <hyperlink ref="U9" r:id="rId2" display="https://www.fnv.nl/getmedia/2c9aa04a-a0c5-4638-9a76-7c677772372b/501-zorgvervoer-en-taxi-cao-01-01-2026-tm-31-12-2027-v29052026.pdf?ext=.pdf" xr:uid="{2BF20611-E84C-42CF-BD33-2A30F15F510C}"/>
    <hyperlink ref="U10" r:id="rId3" display="https://www.fnv.nl/getmedia/3b41e1ff-3b9c-4847-baaf-14edb76b2954/504-besloten-busvervoer-cao-01-01-2025-tm-31-12-2026-v17062025.pdf?ext=.pdf" xr:uid="{69692BF4-7D11-4566-8F15-63F3A8A35989}"/>
    <hyperlink ref="U11" r:id="rId4" display="https://orsima.nl/wp-content/uploads/2025/07/Orsima-Cao-1-maart-2025-30-april-2026.pdf" xr:uid="{CF623443-7042-4CB6-ADB4-43E1BA0F2135}"/>
  </hyperlinks>
  <pageMargins left="0.7" right="0.7" top="0.75" bottom="0.75" header="0.3" footer="0.3"/>
  <pageSetup paperSize="9" orientation="portrait" r:id="rId5"/>
  <tableParts count="1"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0 D A A B Q S w M E F A A C A A g A J G f w X L N p T S q l A A A A 9 g A A A B I A H A B D b 2 5 m a W c v U G F j a 2 F n Z S 5 4 b W w g o h g A K K A U A A A A A A A A A A A A A A A A A A A A A A A A A A A A h Y + x D o I w G I R f h X S n L a i B k F I G V z A m J s a 1 K R U a 4 c f Q Y n k 3 B x / J V x C j q J v j 3 X 2 X 3 N 2 v N 5 a N b e N d V G 9 0 B y k K M E W e A t m V G q o U D f b o x y j j b C v k S V T K m 2 A w y W h 0 i m p r z w k h z j n s F r j r K x J S G p B D k e 9 k r V r h a z B W g F T o 0 y r / t x B n + 9 c Y H u J g t c R R F G P K y G y y Q s M X C K e 9 z / T H Z O u h s U O v O D T + J m d k l o y 8 P / A H U E s D B B Q A A g A I A C R n 8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k Z / B c Z F b r T 8 Y A A A A j A Q A A E w A c A E Z v c m 1 1 b G F z L 1 N l Y 3 R p b 2 4 x L m 0 g o h g A K K A U A A A A A A A A A A A A A A A A A A A A A A A A A A A A d Y 4 9 C 8 J A D I b 3 Q v 9 D O B e F U h D F R b p Y H H Q Q w Y K D O J x e r G e v O U l P / C j 9 7 9 7 R U c w S y P M k b x o 8 O 2 0 J d n 0 f z + M o j p q r Z F Q w E N M n V k g C M j D o 4 g h 8 L d j b G S x f Z z R p / m B G c n v L 1 c n a a j h q D x t Z Y y Y K e U I z E c f u k F t y X j k m / f p A F O 8 7 Q o l P f f v o U o X b X j a Y F i y p u V i u c 2 s e N Q W t G Y a 0 p G 3 F W k o W C a z I z a Z p Q F 0 C r d g i a 6 v w F y y w 1 O T H L m Q p 6 d D p u i d L T e o H d K M 4 0 v T n w f k X U E s B A i 0 A F A A C A A g A J G f w X L N p T S q l A A A A 9 g A A A B I A A A A A A A A A A A A A A A A A A A A A A E N v b m Z p Z y 9 Q Y W N r Y W d l L n h t b F B L A Q I t A B Q A A g A I A C R n 8 F w P y u m r p A A A A O k A A A A T A A A A A A A A A A A A A A A A A P E A A A B b Q 2 9 u d G V u d F 9 U e X B l c 1 0 u e G 1 s U E s B A i 0 A F A A C A A g A J G f w X G R W 6 0 / G A A A A I w E A A B M A A A A A A A A A A A A A A A A A 4 g E A A E Z v c m 1 1 b G F z L 1 N l Y 3 R p b 2 4 x L m 1 Q S w U G A A A A A A M A A w D C A A A A 9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1 w k A A A A A A A C 1 C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N H d l a 2 V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Q 3 Z m Q 3 O W Y t Z j c 5 Z C 0 0 N m E 3 L W F h Y 2 Y t N j c 2 Z D g 5 M j I x Z D I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E 2 V D E w O j U 2 O j M 1 L j c 5 M T I y N D l a I i A v P j x F b n R y e S B U e X B l P S J G a W x s Q 2 9 s d W 1 u V H l w Z X M i I F Z h b H V l P S J z Q X d N S E J 3 P T 0 i I C 8 + P E V u d H J 5 I F R 5 c G U 9 I k Z p b G x D b 2 x 1 b W 5 O Y W 1 l c y I g V m F s d W U 9 I n N b J n F 1 b 3 Q 7 S m F h c i Z x d W 9 0 O y w m c X V v d D t Q Z X J p b 2 R l J n F 1 b 3 Q 7 L C Z x d W 9 0 O 0 J l Z 2 l u J n F 1 b 3 Q 7 L C Z x d W 9 0 O 0 V p b m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0 d 2 V r Z W 4 v Q X V 0 b 1 J l b W 9 2 Z W R D b 2 x 1 b W 5 z M S 5 7 S m F h c i w w f S Z x d W 9 0 O y w m c X V v d D t T Z W N 0 a W 9 u M S 8 0 d 2 V r Z W 4 v Q X V 0 b 1 J l b W 9 2 Z W R D b 2 x 1 b W 5 z M S 5 7 U G V y a W 9 k Z S w x f S Z x d W 9 0 O y w m c X V v d D t T Z W N 0 a W 9 u M S 8 0 d 2 V r Z W 4 v Q X V 0 b 1 J l b W 9 2 Z W R D b 2 x 1 b W 5 z M S 5 7 Q m V n a W 4 s M n 0 m c X V v d D s s J n F 1 b 3 Q 7 U 2 V j d G l v b j E v N H d l a 2 V u L 0 F 1 d G 9 S Z W 1 v d m V k Q 2 9 s d W 1 u c z E u e 0 V p b m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N H d l a 2 V u L 0 F 1 d G 9 S Z W 1 v d m V k Q 2 9 s d W 1 u c z E u e 0 p h Y X I s M H 0 m c X V v d D s s J n F 1 b 3 Q 7 U 2 V j d G l v b j E v N H d l a 2 V u L 0 F 1 d G 9 S Z W 1 v d m V k Q 2 9 s d W 1 u c z E u e 1 B l c m l v Z G U s M X 0 m c X V v d D s s J n F 1 b 3 Q 7 U 2 V j d G l v b j E v N H d l a 2 V u L 0 F 1 d G 9 S Z W 1 v d m V k Q 2 9 s d W 1 u c z E u e 0 J l Z 2 l u L D J 9 J n F 1 b 3 Q 7 L C Z x d W 9 0 O 1 N l Y 3 R p b 2 4 x L z R 3 Z W t l b i 9 B d X R v U m V t b 3 Z l Z E N v b H V t b n M x L n t F a W 5 k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0 d 2 V r Z W 4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R 3 Z W t l b i 9 U e X B l J T I w Z 2 V 3 a W p 6 a W d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Q b E f u x W b 1 M o v 4 U 6 B X L D 7 4 A A A A A A g A A A A A A E G Y A A A A B A A A g A A A A 9 O Z 6 + 3 S 6 8 H q 3 Q v P t w R y N v t 3 Y Q K e T 6 P S r O j s D 3 J l A D s I A A A A A D o A A A A A C A A A g A A A A f d / B + E n t 5 G / 1 N Y F o E n T + 3 N Y Z x B X m K 1 o U A w 6 9 M 0 i k P 9 B Q A A A A 2 Y P P 0 3 9 w k u c A r M D Q r 7 H H b 2 y P f b A d 7 u X N O a m B H h m q l j s O s a 2 t Y N w R s 3 8 I W z t a c b V B 2 Y 8 k + a w i 4 s A r u 6 H l 1 k 5 K q f y J h A 2 f v b N F s J 6 c 2 n Z 8 m F N A A A A A 9 V 8 B i L 6 j y V N 5 M l 0 a i t 4 a t p 2 U x n Y e s V O 6 U 8 N d r h c V T 7 G J s c h h 4 s 9 9 X x w G X W D w W 2 h 7 o l L A y 3 6 Q m U 0 c k w A 8 t H S F L w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e4b0b2-2ef5-4d08-86ae-ead197035192" xsi:nil="true"/>
    <lcf76f155ced4ddcb4097134ff3c332f xmlns="d5259957-f353-4b73-92df-8c50cc8a021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C9454BF281D4488F35C877B53EAB78" ma:contentTypeVersion="11" ma:contentTypeDescription="Create a new document." ma:contentTypeScope="" ma:versionID="c018a559a8796d79d31af16689f58591">
  <xsd:schema xmlns:xsd="http://www.w3.org/2001/XMLSchema" xmlns:xs="http://www.w3.org/2001/XMLSchema" xmlns:p="http://schemas.microsoft.com/office/2006/metadata/properties" xmlns:ns2="d5259957-f353-4b73-92df-8c50cc8a0216" xmlns:ns3="cde4b0b2-2ef5-4d08-86ae-ead197035192" targetNamespace="http://schemas.microsoft.com/office/2006/metadata/properties" ma:root="true" ma:fieldsID="38b29d2513816cff6b2743db2f90b35f" ns2:_="" ns3:_="">
    <xsd:import namespace="d5259957-f353-4b73-92df-8c50cc8a0216"/>
    <xsd:import namespace="cde4b0b2-2ef5-4d08-86ae-ead1970351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59957-f353-4b73-92df-8c50cc8a02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8416e9-e3a2-42d1-bdfa-3e911e1ce5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4b0b2-2ef5-4d08-86ae-ead19703519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98c3e1-839a-4f8c-ba3b-9c0af9027559}" ma:internalName="TaxCatchAll" ma:showField="CatchAllData" ma:web="cde4b0b2-2ef5-4d08-86ae-ead1970351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889E79-3856-42C6-8F48-A51EE664D93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2B1C13B-A6D4-4AD1-8759-9901079570FA}">
  <ds:schemaRefs>
    <ds:schemaRef ds:uri="cde4b0b2-2ef5-4d08-86ae-ead197035192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d5259957-f353-4b73-92df-8c50cc8a0216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8B46FEE-55F5-490D-A5C6-B245C9990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259957-f353-4b73-92df-8c50cc8a0216"/>
    <ds:schemaRef ds:uri="cde4b0b2-2ef5-4d08-86ae-ead1970351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962A793-06F2-45E0-8BF1-8E3AE345C96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911eff9-d416-4218-ad0f-9d12c4499240}" enabled="1" method="Standard" siteId="{866828ac-36d2-478f-b3e1-20e24430c1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22</vt:i4>
      </vt:variant>
    </vt:vector>
  </HeadingPairs>
  <TitlesOfParts>
    <vt:vector size="25" baseType="lpstr">
      <vt:lpstr>BASE</vt:lpstr>
      <vt:lpstr>Premie PF VVR</vt:lpstr>
      <vt:lpstr>rekenwaarden</vt:lpstr>
      <vt:lpstr>Code_Aard_Arbeidsverhouding</vt:lpstr>
      <vt:lpstr>Code_Reden_Einde_Arbeidsverhouding</vt:lpstr>
      <vt:lpstr>Code_Soort_IKV</vt:lpstr>
      <vt:lpstr>'Premie PF VVR'!Datum_Aanvang_IKV</vt:lpstr>
      <vt:lpstr>Datum_Aanvang_IKV</vt:lpstr>
      <vt:lpstr>'Premie PF VVR'!Datum_Einde_IKV</vt:lpstr>
      <vt:lpstr>Datum_Einde_IKV</vt:lpstr>
      <vt:lpstr>franchise</vt:lpstr>
      <vt:lpstr>'Premie PF VVR'!Geboortedatum</vt:lpstr>
      <vt:lpstr>Geboortedatum</vt:lpstr>
      <vt:lpstr>jaar</vt:lpstr>
      <vt:lpstr>max_loon</vt:lpstr>
      <vt:lpstr>max_loon_exc</vt:lpstr>
      <vt:lpstr>'Premie PF VVR'!Normuren_per_week</vt:lpstr>
      <vt:lpstr>Normuren_per_week</vt:lpstr>
      <vt:lpstr>premiepct2027</vt:lpstr>
      <vt:lpstr>premiepct2028</vt:lpstr>
      <vt:lpstr>Rekenwaarden_tabel</vt:lpstr>
      <vt:lpstr>'Premie PF VVR'!verloning</vt:lpstr>
      <vt:lpstr>verloning</vt:lpstr>
      <vt:lpstr>'Premie PF VVR'!Verloningsperiodiciteit</vt:lpstr>
      <vt:lpstr>Verloningsperiodiciteit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Verhagen, Diana</dc:creator>
  <cp:keywords/>
  <dc:description/>
  <cp:lastModifiedBy>Kesteren, Rien van</cp:lastModifiedBy>
  <cp:revision/>
  <dcterms:created xsi:type="dcterms:W3CDTF">2026-07-07T09:18:23Z</dcterms:created>
  <dcterms:modified xsi:type="dcterms:W3CDTF">2026-09-10T08:26:59Z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0x010100A8C9454BF281D4488F35C877B53EAB78</vt:lpwstr>
  </property>
  <property fmtid="{D5CDD505-2E9C-101B-9397-08002B2CF9AE}" pid="3" name="MediaServiceImageTags">
    <vt:lpwstr/>
  </property>
</Properties>
</file>